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elizabeth/Downloads/"/>
    </mc:Choice>
  </mc:AlternateContent>
  <xr:revisionPtr revIDLastSave="0" documentId="8_{52301B50-819E-E047-99A0-B93D7F403367}" xr6:coauthVersionLast="47" xr6:coauthVersionMax="47" xr10:uidLastSave="{00000000-0000-0000-0000-000000000000}"/>
  <bookViews>
    <workbookView xWindow="13200" yWindow="460" windowWidth="15460" windowHeight="16240" xr2:uid="{AEB5F5C9-2694-4578-BD69-4B7C4284020D}"/>
  </bookViews>
  <sheets>
    <sheet name="Contents" sheetId="2" r:id="rId1"/>
    <sheet name="Notes" sheetId="3" r:id="rId2"/>
    <sheet name="Volume I" sheetId="6" r:id="rId3"/>
    <sheet name="Volume II, Mandatory" sheetId="1" r:id="rId4"/>
    <sheet name="Volume II, Discretionary" sheetId="4" r:id="rId5"/>
    <sheet name="Volume II, Revenu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2" l="1"/>
  <c r="B27" i="2"/>
  <c r="B79" i="2"/>
  <c r="B26" i="2"/>
  <c r="B24" i="2"/>
  <c r="B99" i="2"/>
  <c r="B98" i="2"/>
  <c r="B97" i="2"/>
  <c r="B96" i="2"/>
  <c r="B95" i="2"/>
  <c r="B94" i="2"/>
  <c r="B93" i="2"/>
  <c r="B92" i="2"/>
  <c r="B91" i="2"/>
  <c r="B90" i="2"/>
  <c r="B89" i="2"/>
  <c r="B88" i="2"/>
  <c r="B87" i="2"/>
  <c r="B86" i="2"/>
  <c r="B85" i="2"/>
  <c r="B84" i="2"/>
  <c r="B83" i="2"/>
  <c r="B82" i="2"/>
  <c r="B81" i="2"/>
  <c r="B80" i="2"/>
  <c r="B78" i="2"/>
  <c r="B77" i="2"/>
  <c r="B73" i="2"/>
  <c r="B72" i="2"/>
  <c r="B71" i="2"/>
  <c r="B70" i="2"/>
  <c r="B69" i="2"/>
  <c r="B68" i="2"/>
  <c r="B67" i="2"/>
  <c r="B66" i="2"/>
  <c r="B65" i="2"/>
  <c r="B63" i="2"/>
  <c r="B64" i="2"/>
  <c r="B62" i="2"/>
  <c r="B61" i="2"/>
  <c r="B60" i="2"/>
  <c r="B59" i="2"/>
  <c r="B58" i="2"/>
  <c r="B57" i="2"/>
  <c r="B56" i="2"/>
  <c r="B52" i="2"/>
  <c r="B51" i="2"/>
  <c r="B50" i="2"/>
  <c r="B49" i="2"/>
  <c r="B48" i="2"/>
  <c r="B47" i="2"/>
  <c r="B46" i="2"/>
  <c r="B45" i="2"/>
  <c r="B44" i="2"/>
  <c r="B43" i="2"/>
  <c r="B42" i="2"/>
  <c r="B41" i="2"/>
  <c r="B40" i="2"/>
  <c r="B39" i="2"/>
  <c r="B38" i="2"/>
  <c r="B37" i="2"/>
  <c r="B36" i="2"/>
  <c r="B35" i="2"/>
  <c r="B15" i="2"/>
  <c r="B31" i="2"/>
  <c r="B30" i="2"/>
  <c r="B29" i="2"/>
  <c r="B25" i="2"/>
  <c r="B23" i="2"/>
  <c r="B22" i="2"/>
  <c r="B21" i="2"/>
  <c r="B20" i="2"/>
  <c r="B19" i="2"/>
  <c r="B18" i="2"/>
  <c r="B17" i="2"/>
  <c r="B16" i="2"/>
  <c r="A238" i="5"/>
  <c r="A38" i="2"/>
  <c r="A83" i="2"/>
  <c r="A189" i="4"/>
  <c r="A61" i="2"/>
  <c r="A41" i="4"/>
  <c r="A86" i="2"/>
  <c r="A44" i="2"/>
  <c r="A285" i="6"/>
  <c r="A223" i="5"/>
  <c r="A29" i="2"/>
  <c r="A43" i="2"/>
  <c r="A57" i="2"/>
  <c r="A59" i="2"/>
  <c r="A239" i="1"/>
  <c r="A90" i="2"/>
  <c r="A15" i="1"/>
  <c r="A81" i="5"/>
  <c r="A214" i="1"/>
  <c r="A31" i="2"/>
  <c r="A302" i="6"/>
  <c r="A211" i="5"/>
  <c r="A293" i="4"/>
  <c r="A228" i="1"/>
  <c r="A92" i="2"/>
  <c r="A118" i="1"/>
  <c r="A93" i="5"/>
  <c r="A284" i="1"/>
  <c r="A298" i="5"/>
  <c r="A67" i="2"/>
  <c r="A42" i="2"/>
  <c r="A15" i="2"/>
  <c r="A176" i="4"/>
  <c r="A85" i="2"/>
  <c r="A38" i="6"/>
  <c r="A56" i="4"/>
  <c r="A269" i="6"/>
  <c r="A176" i="1"/>
  <c r="A64" i="2"/>
  <c r="A51" i="2"/>
  <c r="A63" i="2"/>
  <c r="A36" i="2"/>
  <c r="A73" i="1"/>
  <c r="A221" i="6"/>
  <c r="A162" i="1"/>
  <c r="A28" i="2"/>
  <c r="A172" i="5"/>
  <c r="A256" i="4"/>
  <c r="A68" i="2"/>
  <c r="A40" i="1"/>
  <c r="A46" i="2"/>
  <c r="A11" i="2"/>
  <c r="A45" i="2"/>
  <c r="A19" i="2"/>
  <c r="A163" i="4"/>
  <c r="A44" i="5"/>
  <c r="A200" i="1"/>
  <c r="A58" i="2"/>
  <c r="A92" i="4"/>
  <c r="A197" i="5"/>
  <c r="A193" i="6"/>
  <c r="A66" i="2"/>
  <c r="A119" i="5"/>
  <c r="A96" i="2"/>
  <c r="A134" i="4"/>
  <c r="A48" i="2"/>
  <c r="A62" i="2"/>
  <c r="A30" i="2"/>
  <c r="A187" i="1"/>
  <c r="A133" i="6"/>
  <c r="A223" i="4"/>
  <c r="A21" i="2"/>
  <c r="A56" i="5"/>
  <c r="A280" i="5"/>
  <c r="A78" i="2"/>
  <c r="A71" i="2"/>
  <c r="A65" i="2"/>
  <c r="A70" i="2"/>
  <c r="A22" i="2"/>
  <c r="A157" i="5"/>
  <c r="A239" i="4"/>
  <c r="A35" i="2"/>
  <c r="A132" i="5"/>
  <c r="A239" i="6"/>
  <c r="A149" i="6"/>
  <c r="A24" i="2"/>
  <c r="A95" i="2"/>
  <c r="A79" i="2"/>
  <c r="A21" i="4"/>
  <c r="A120" i="4"/>
  <c r="A312" i="4"/>
  <c r="A184" i="5"/>
  <c r="A267" i="5"/>
  <c r="A255" i="6"/>
  <c r="A148" i="4"/>
  <c r="A72" i="2"/>
  <c r="A80" i="2"/>
  <c r="A98" i="6"/>
  <c r="A29" i="1"/>
  <c r="A16" i="2"/>
  <c r="A41" i="2"/>
  <c r="A77" i="2"/>
  <c r="A52" i="2"/>
  <c r="A20" i="2"/>
  <c r="A60" i="2"/>
  <c r="A18" i="2"/>
  <c r="A56" i="2"/>
  <c r="A69" i="2"/>
  <c r="A73" i="2"/>
  <c r="A105" i="5"/>
  <c r="A30" i="5"/>
  <c r="A179" i="6"/>
  <c r="A26" i="2"/>
  <c r="A77" i="4"/>
  <c r="A148" i="1"/>
  <c r="A63" i="6"/>
  <c r="A93" i="2"/>
  <c r="A252" i="1"/>
  <c r="A50" i="2"/>
  <c r="A91" i="2"/>
  <c r="A39" i="2"/>
  <c r="A103" i="1"/>
  <c r="A145" i="5"/>
  <c r="A106" i="4"/>
  <c r="A87" i="2"/>
  <c r="A25" i="2"/>
  <c r="A210" i="4"/>
  <c r="A99" i="2"/>
  <c r="A81" i="2"/>
  <c r="A47" i="2"/>
  <c r="A254" i="5"/>
  <c r="A98" i="2"/>
  <c r="A88" i="2"/>
  <c r="A84" i="6"/>
  <c r="A207" i="6"/>
  <c r="A69" i="5"/>
  <c r="A23" i="2"/>
  <c r="A94" i="2"/>
  <c r="A133" i="1"/>
  <c r="A57" i="1"/>
  <c r="A109" i="6"/>
  <c r="A97" i="2"/>
  <c r="A49" i="2"/>
  <c r="A89" i="2"/>
  <c r="A37" i="2"/>
  <c r="A40" i="2"/>
  <c r="A309" i="5"/>
  <c r="A84" i="2"/>
  <c r="A82" i="2"/>
  <c r="A16" i="5"/>
  <c r="A17" i="2"/>
  <c r="A163" i="6"/>
  <c r="A27" i="2"/>
</calcChain>
</file>

<file path=xl/sharedStrings.xml><?xml version="1.0" encoding="utf-8"?>
<sst xmlns="http://schemas.openxmlformats.org/spreadsheetml/2006/main" count="1067" uniqueCount="387">
  <si>
    <t>Option 1</t>
  </si>
  <si>
    <t>Eliminate Title I Agriculture Programs</t>
  </si>
  <si>
    <t>Billions of Dollars</t>
  </si>
  <si>
    <t>2023-2027</t>
  </si>
  <si>
    <t>2023-2032</t>
  </si>
  <si>
    <t>Change in Outlays</t>
  </si>
  <si>
    <t>This option would take effect in October 2023.</t>
  </si>
  <si>
    <t>Option 2</t>
  </si>
  <si>
    <t>Reduce Subsidies in the Crop Insurance Program</t>
  </si>
  <si>
    <t>Reduce premium subsidies</t>
  </si>
  <si>
    <t>Limit administrative expenses and the rate of return</t>
  </si>
  <si>
    <t>  -0.2</t>
  </si>
  <si>
    <t>  -0.8</t>
  </si>
  <si>
    <t>  -3.4</t>
  </si>
  <si>
    <t>  -7.4</t>
  </si>
  <si>
    <t>Total</t>
  </si>
  <si>
    <t>This option would take effect in June 2023.</t>
  </si>
  <si>
    <t>Option 3</t>
  </si>
  <si>
    <t>Limit ARC and PLC Payment Acres to 30 Percent of Base Acres</t>
  </si>
  <si>
    <t>This option would take effect in crop year 2024.</t>
  </si>
  <si>
    <t>Option 4</t>
  </si>
  <si>
    <t>Raise Fannie Mae’s and Freddie Mac’s Guarantee Fees and Decrease Their Eligible Loan Limits</t>
  </si>
  <si>
    <t>Increase guarantee fees</t>
  </si>
  <si>
    <t>Decrease loan limits</t>
  </si>
  <si>
    <t>This option would take effect in January 2023.</t>
  </si>
  <si>
    <t>a. Excludes the potential effects on spending by the Federal Housing Administration and the Government National Mortgage Association. Spending by those agencies is governed by annual appropriation acts and thus is classified as discretionary, whereas spending by Fannie Mae and Freddie Mac is not determined by appropriation acts and thus is classified by the Congressional Budget Office as mandatory.</t>
  </si>
  <si>
    <t>b. If both alternatives were enacted together, the total effects would be less than the sum of the effects for each alternative because of interactions between the approaches.</t>
  </si>
  <si>
    <t>Option 5</t>
  </si>
  <si>
    <t>Eliminate the Add-On to Pell Grants, Which Is Funded With Mandatory Spending</t>
  </si>
  <si>
    <t>Change in Mandatory Outlays</t>
  </si>
  <si>
    <t>Change in Discretionary Spending</t>
  </si>
  <si>
    <t>Budget authority</t>
  </si>
  <si>
    <t>Outlays</t>
  </si>
  <si>
    <t>*</t>
  </si>
  <si>
    <t>This option would take effect in July 2023.</t>
  </si>
  <si>
    <t>The estimates for this option are relative to the Congressional Budget Office's May 2022 baseline, which does not reflect the effects of the Administration's recent proposed changes to student loans.</t>
  </si>
  <si>
    <t>* = between -$50 million and zero.</t>
  </si>
  <si>
    <t>Option 6</t>
  </si>
  <si>
    <t>Adopt a Voucher Plan and Slow the Growth of Federal Contributions for Federal Employees' Health Benefits</t>
  </si>
  <si>
    <t>Adopt a Voucher Plan, With Growth Based on the CPI-U</t>
  </si>
  <si>
    <t>Adopt a Voucher Plan, With Growth Based on the Chained CPI-U</t>
  </si>
  <si>
    <t>Data sources: Congressional Budget Office; staff of the Joint Committee on Taxation.</t>
  </si>
  <si>
    <t>This option would take effect in January 2025.</t>
  </si>
  <si>
    <t>CPI-U = consumer price index for all urban consumers; * = between -$50 million and zero.</t>
  </si>
  <si>
    <t>a. Includes estimated savings by the Postal Service, whose spending is classified as off-budget.</t>
  </si>
  <si>
    <t>b. Estimates include the effects on Social Security payroll tax receipts, which are classified as off-budget.</t>
  </si>
  <si>
    <t>c. As the dashed line indicates, changes in discretionary spending are not included in the total because they would be realized only if future appropriations were adjusted accordingly and because the Congress uses different procedures to enforce its budgetary goals related to discretionary spending.</t>
  </si>
  <si>
    <t>Option 7</t>
  </si>
  <si>
    <t>Introduce Enrollment Fees in TRICARE for Life</t>
  </si>
  <si>
    <t>MERHCF</t>
  </si>
  <si>
    <t>Medicare</t>
  </si>
  <si>
    <t>  0</t>
  </si>
  <si>
    <t>  0.2</t>
  </si>
  <si>
    <t>  0.5</t>
  </si>
  <si>
    <t>  0.8</t>
  </si>
  <si>
    <t>  0.9</t>
  </si>
  <si>
    <t>  1.0</t>
  </si>
  <si>
    <t>  1.5</t>
  </si>
  <si>
    <t>  6.2</t>
  </si>
  <si>
    <t>MERHCF = Department of Defense Medicare-Eligible Retiree Health Care Fund.</t>
  </si>
  <si>
    <t>Option 8</t>
  </si>
  <si>
    <t>Introduce Minimum Out-of-Pocket Requirements in TRICARE for Life</t>
  </si>
  <si>
    <t>  -0.5</t>
  </si>
  <si>
    <t>  -1.3</t>
  </si>
  <si>
    <t>  -1.6</t>
  </si>
  <si>
    <t>  -1.7</t>
  </si>
  <si>
    <t>  -1.8</t>
  </si>
  <si>
    <t>  -1.9</t>
  </si>
  <si>
    <t>  -10.7</t>
  </si>
  <si>
    <t>This option would take effect in January 2026, although some changes to outlays would occur earlier.</t>
  </si>
  <si>
    <t>Option 9</t>
  </si>
  <si>
    <t>Change the Cost-Sharing Rules for Medicare and Restrict Medigap Insurance</t>
  </si>
  <si>
    <t>Establish uniform cost sharing and an out-of-pocket cap for Medicare</t>
  </si>
  <si>
    <t>Restrict medigap policies</t>
  </si>
  <si>
    <t>This option would take effect in January 2026.</t>
  </si>
  <si>
    <t>a. Although the total savings of this alternative would approximate the sum of the savings from the first two alternatives, that relationship might not apply if different dollar amounts for the deductible and catastrophic cap were used.</t>
  </si>
  <si>
    <t>Option 10</t>
  </si>
  <si>
    <t>Reduce Medicare’s Coverage of Bad Debt</t>
  </si>
  <si>
    <t>Reduce the percentage of allowable bad debt to 45 percent</t>
  </si>
  <si>
    <t>Reduce the percentage of allowable bad debt to 25 percent</t>
  </si>
  <si>
    <t>Eliminate the coverage of allowable bad debt</t>
  </si>
  <si>
    <t>Option 11</t>
  </si>
  <si>
    <t>Consolidate and Reduce Federal Payments for Graduate Medical Education at Teaching Hospitals</t>
  </si>
  <si>
    <t>Establish a grant program, with growth of funding based on the CPI-U</t>
  </si>
  <si>
    <t>Establish a grant program, with growth of funding based on the CPI-U minus 1 percentage point</t>
  </si>
  <si>
    <t>CPI-U = consumer price index for all urban consumers.</t>
  </si>
  <si>
    <t>Option 12</t>
  </si>
  <si>
    <t>Eliminate Subsidies for Certain Meals in the National School Lunch, School Breakfast, and Child and Adult Care Food Programs</t>
  </si>
  <si>
    <t>Option 13</t>
  </si>
  <si>
    <t>Raise the Full Retirement Age for Social Security</t>
  </si>
  <si>
    <t>This option would take effect in January 2024.</t>
  </si>
  <si>
    <t>Estimates include budgetary effects for Social Security benefits; that spending is classified as off-budget.</t>
  </si>
  <si>
    <t>* = between zero and -$500 million.</t>
  </si>
  <si>
    <t>Option 14</t>
  </si>
  <si>
    <t>Require Social Security Disability Insurance Applicants to Have Worked More in Recent Years</t>
  </si>
  <si>
    <t>Estimates include effects on Social Security only; they do not include effects on other federal programs that could be affected, such as Supplemental Security Income, Medicare, Medicaid, and subsidies for coverage obtained through marketplaces established by the Affordable Care Act.</t>
  </si>
  <si>
    <t>Option 15</t>
  </si>
  <si>
    <t>End VA’s Individual Unemployability Payments to Disabled Veterans at the Full Retirement Age for Social Security</t>
  </si>
  <si>
    <t>End IU payments to all veterans age 67 or older</t>
  </si>
  <si>
    <t>End IU payments to all veterans age 67 or older who would begin receiving IU after December 2023</t>
  </si>
  <si>
    <t>IU = Individual Unemployability.</t>
  </si>
  <si>
    <t>Option 16</t>
  </si>
  <si>
    <t>Reduce VA’s Disability Benefits for Veterans Who Are Older Than the Full Retirement Age for Social Security</t>
  </si>
  <si>
    <t>Option 17</t>
  </si>
  <si>
    <t>Narrow Eligibility for VA’s Disability Compensation by Excluding Veterans With Low Disability Ratings</t>
  </si>
  <si>
    <t>Require disability ratings of 30 percent or higher for disability compensation for all veterans</t>
  </si>
  <si>
    <t>Require disability ratings of 30 percent or higher for disability compensation for new applicants</t>
  </si>
  <si>
    <t>Option 18</t>
  </si>
  <si>
    <t>Use an Alternative Measure of Inflation to Index Social Security and Other Mandatory Programs</t>
  </si>
  <si>
    <t>Social Security</t>
  </si>
  <si>
    <t>  *</t>
  </si>
  <si>
    <t>  -0.3</t>
  </si>
  <si>
    <t>  -0.6</t>
  </si>
  <si>
    <t>  -0.9</t>
  </si>
  <si>
    <t>  -1.1</t>
  </si>
  <si>
    <t>  -0.7</t>
  </si>
  <si>
    <t>  -4.6</t>
  </si>
  <si>
    <t>Decrease (-) in the Deficit</t>
  </si>
  <si>
    <t>a. Other benefit programs with COLAs include civil service retirement, military retirement, Supplemental Security Income, veterans' pensions and compensation, and other retirement programs whose COLAs are linked directly to those for Social Security or civil service retirement.</t>
  </si>
  <si>
    <t>b. The policy change would reduce payments from other federal programs to people who also receive benefits from SNAP. Because SNAP benefits are based on a formula that considers such income, a decrease in those other payments would lead to an increase in SNAP benefits.</t>
  </si>
  <si>
    <t>c. Outlays for health programs consist of spending for Medicare (net of premiums and other offsetting receipts), Medicaid, and the Children's Health Insurance Program, as well as outlays to subsidize health insurance purchased through the marketplaces established by the Affordable Care Act and related spending.</t>
  </si>
  <si>
    <t>d. Other federal spending includes changes to benefits and various aspects (eligibility thresholds, funding levels, and payment rates, for instance) of other federal programs, such as those providing Pell grants and student loans, SNAP, child nutrition programs, and programs (other than health programs) linked to the federal poverty guidelines. (The changes in spending on SNAP included here are those besides the changes in benefits that result from interactions with COLA programs.)</t>
  </si>
  <si>
    <t>e. The effects on revenues reflect slightly higher enrollment in employment-based health insurance coverage under the option.</t>
  </si>
  <si>
    <t>Contents</t>
  </si>
  <si>
    <t>Link to Location in This File</t>
  </si>
  <si>
    <t>Link to Online Search Tool</t>
  </si>
  <si>
    <t>Notes</t>
  </si>
  <si>
    <t>Option 19</t>
  </si>
  <si>
    <t>Option 20</t>
  </si>
  <si>
    <t>Option 21</t>
  </si>
  <si>
    <t>Option 22</t>
  </si>
  <si>
    <t>Option 23</t>
  </si>
  <si>
    <t>Option 24</t>
  </si>
  <si>
    <t>Option 25</t>
  </si>
  <si>
    <t>Option 26</t>
  </si>
  <si>
    <t>Option 27</t>
  </si>
  <si>
    <t>Option 28</t>
  </si>
  <si>
    <t>Option 29</t>
  </si>
  <si>
    <t>Option 30</t>
  </si>
  <si>
    <t>Option 31</t>
  </si>
  <si>
    <t>Option 32</t>
  </si>
  <si>
    <t>Option 33</t>
  </si>
  <si>
    <t>Option 34</t>
  </si>
  <si>
    <t>Option 35</t>
  </si>
  <si>
    <t>Option 36</t>
  </si>
  <si>
    <t>Option 37</t>
  </si>
  <si>
    <t>Option 38</t>
  </si>
  <si>
    <t>Option 39</t>
  </si>
  <si>
    <t>Option 40</t>
  </si>
  <si>
    <t>Option 41</t>
  </si>
  <si>
    <t>Option 42</t>
  </si>
  <si>
    <t>Option 43</t>
  </si>
  <si>
    <t>Option 44</t>
  </si>
  <si>
    <t>Option 45</t>
  </si>
  <si>
    <t>Option 46</t>
  </si>
  <si>
    <t>Option 47</t>
  </si>
  <si>
    <t>Option 48</t>
  </si>
  <si>
    <t>Option 49</t>
  </si>
  <si>
    <t>Option 50</t>
  </si>
  <si>
    <t>Option 51</t>
  </si>
  <si>
    <t>Option 52</t>
  </si>
  <si>
    <t>Option 53</t>
  </si>
  <si>
    <t>Option 54</t>
  </si>
  <si>
    <t>Option 55</t>
  </si>
  <si>
    <t>Option 56</t>
  </si>
  <si>
    <t>Option 57</t>
  </si>
  <si>
    <t>Option 58</t>
  </si>
  <si>
    <t>Option 59</t>
  </si>
  <si>
    <t>Function 350</t>
  </si>
  <si>
    <t>Function 370</t>
  </si>
  <si>
    <t>Function 500</t>
  </si>
  <si>
    <t>Function 550</t>
  </si>
  <si>
    <r>
      <t>Change in Outlays</t>
    </r>
    <r>
      <rPr>
        <vertAlign val="superscript"/>
        <sz val="11"/>
        <color theme="1"/>
        <rFont val="Arial"/>
        <family val="2"/>
      </rPr>
      <t>a</t>
    </r>
  </si>
  <si>
    <r>
      <t>Implement both alternatives</t>
    </r>
    <r>
      <rPr>
        <vertAlign val="superscript"/>
        <sz val="11"/>
        <color theme="1"/>
        <rFont val="Arial"/>
        <family val="2"/>
      </rPr>
      <t>b</t>
    </r>
  </si>
  <si>
    <t>Function 570</t>
  </si>
  <si>
    <t>Functions 550, 570</t>
  </si>
  <si>
    <t>Function 600</t>
  </si>
  <si>
    <t>Function 650</t>
  </si>
  <si>
    <t>Function 700</t>
  </si>
  <si>
    <t>Functions 050, 500, 550, 570, 600, 650, 700, 800</t>
  </si>
  <si>
    <r>
      <t>Change in Mandatory Outlays</t>
    </r>
    <r>
      <rPr>
        <vertAlign val="superscript"/>
        <sz val="11"/>
        <color theme="1"/>
        <rFont val="Arial"/>
        <family val="2"/>
      </rPr>
      <t>a</t>
    </r>
  </si>
  <si>
    <r>
      <t>Change in Revenues</t>
    </r>
    <r>
      <rPr>
        <vertAlign val="superscript"/>
        <sz val="11"/>
        <color theme="1"/>
        <rFont val="Arial"/>
        <family val="2"/>
      </rPr>
      <t>b</t>
    </r>
  </si>
  <si>
    <r>
      <t>Decrease (-) in the Deficit From Changes in Mandatory Outlays and Revenues</t>
    </r>
    <r>
      <rPr>
        <vertAlign val="superscript"/>
        <sz val="11"/>
        <color theme="1"/>
        <rFont val="Arial"/>
        <family val="2"/>
      </rPr>
      <t>c</t>
    </r>
  </si>
  <si>
    <r>
      <t>Implement both alternatives</t>
    </r>
    <r>
      <rPr>
        <vertAlign val="superscript"/>
        <sz val="11"/>
        <color theme="1"/>
        <rFont val="Arial"/>
        <family val="2"/>
      </rPr>
      <t>a</t>
    </r>
  </si>
  <si>
    <r>
      <t>Other benefit programs with COLAs</t>
    </r>
    <r>
      <rPr>
        <vertAlign val="superscript"/>
        <sz val="11"/>
        <color theme="1"/>
        <rFont val="Arial"/>
        <family val="2"/>
      </rPr>
      <t>a</t>
    </r>
  </si>
  <si>
    <r>
      <t>Effects on SNAP from interactions with COLA programs</t>
    </r>
    <r>
      <rPr>
        <vertAlign val="superscript"/>
        <sz val="11"/>
        <color theme="1"/>
        <rFont val="Arial"/>
        <family val="2"/>
      </rPr>
      <t>b</t>
    </r>
  </si>
  <si>
    <r>
      <t>Health programs</t>
    </r>
    <r>
      <rPr>
        <vertAlign val="superscript"/>
        <sz val="11"/>
        <color theme="1"/>
        <rFont val="Arial"/>
        <family val="2"/>
      </rPr>
      <t>c</t>
    </r>
  </si>
  <si>
    <r>
      <t>Other federal spending</t>
    </r>
    <r>
      <rPr>
        <vertAlign val="superscript"/>
        <sz val="11"/>
        <color theme="1"/>
        <rFont val="Arial"/>
        <family val="2"/>
      </rPr>
      <t>d</t>
    </r>
  </si>
  <si>
    <t>Cap Increases in Basic Pay for Military Service Members</t>
  </si>
  <si>
    <t>About 30 percent of the discretionary savings displayed are reductions in intragovernmental payments. Such transactions would transfer resources from one category of the budget to another: Capping increases in basic pay would lower the Department of Defense's payments for retirement accruals and Social Security contributions, but those smaller payments would reduce federal receipts by an equal amount and thus would fully offset the savings. The increase in mandatory outlays shown above represents the reduction in those offsetting receipts.</t>
  </si>
  <si>
    <t>Replace Some Military Personnel With Civilian Employees</t>
  </si>
  <si>
    <t>About 40 percent of the discretionary savings displayed are reductions in intragovernmental payments. Such transactions would transfer resources from one category of the budget to another: Fewer military personnel would lower the Department of Defense's (DoD's) payments for retirement accruals and Social Security contributions, but those lower payments would reduce federal receipts by an equal amount and thus would fully offset the savings. The increase in mandatory outlays above represents the reduction in those offsetting receipts.</t>
  </si>
  <si>
    <t>The reduced cost to DoD of fewer military personnel would be partially offset by the increased cost to DoD of more civilian personnel and the increased cost to the Department of Veterans Affairs (VA) of some veterans' receiving health care benefits earlier than anticipated in CBO's baseline. For this budget option, all of the increased cost to VA is classified as discretionary. However, some of that cost could be paid from the Toxic Exposure Fund (TEF) established by Public Law 117-168, the Honoring Our PACT Act, enacted on August 10, 2022; TEF is a mandatory appropriation.</t>
  </si>
  <si>
    <t>Stop Building Ford Class Aircraft Carriers</t>
  </si>
  <si>
    <t>Change in Planned Defense Spending</t>
  </si>
  <si>
    <t>Estimates of savings displayed in the table are based on the Department of Defense's 2023 Future Years Defense Program and the Congressional Budget Office's extension of that plan.</t>
  </si>
  <si>
    <t>Reduce the Size of the Nuclear Triad</t>
  </si>
  <si>
    <t>Retain a Nuclear Triad With 10 Submarines, 300 ICBMs, and 1,550 Warheads</t>
  </si>
  <si>
    <t>Retain a Nuclear Triad With 8 Submarines, 150 ICBMs, and 1,000 Warheads</t>
  </si>
  <si>
    <t>Estimates of savings displayed in the table are based on the Department of Defense's 2023 Future Years Defense Program, the Department of Energy's 2023 Future Years Nuclear Security Program, and the Congressional Budget Office's extension of those plans.</t>
  </si>
  <si>
    <t>ICBM = intercontinental ballistic missile.</t>
  </si>
  <si>
    <t>Cancel the Long-Range Standoff Weapon</t>
  </si>
  <si>
    <t>Cancel the Army's Future Vertical Lift Aircraft</t>
  </si>
  <si>
    <t>Defer Development of the B-21 Bomber</t>
  </si>
  <si>
    <t>Reduce the Size of the Bomber Force by Retiring the B-1B</t>
  </si>
  <si>
    <t>Estimates of savings displayed in the table are based on cost estimates from the Air Force.</t>
  </si>
  <si>
    <t>Reduce the Size of the Fighter Force by Retiring the F-22</t>
  </si>
  <si>
    <t>Reduce the Basic Allowance for Housing to 80 Percent of Average Housing Costs</t>
  </si>
  <si>
    <t>Reduce Funding for International Affairs Programs</t>
  </si>
  <si>
    <t>Change in Spending</t>
  </si>
  <si>
    <t>Eliminate Federal Funding for National Community Service</t>
  </si>
  <si>
    <t>Tighten Eligibility for Pell Grants</t>
  </si>
  <si>
    <t>Restrict Pell Grants to Students Eligible for the Maximum Award</t>
  </si>
  <si>
    <t>Limit Pell Grants to Students From Families With Income Below 250 Percent of Federal Poverty Guidelines</t>
  </si>
  <si>
    <t>Increase Prescription Drug Copayments for All Veterans</t>
  </si>
  <si>
    <t>End Enrollment in VA Medical Care for Veterans in Priority Groups 7 and 8</t>
  </si>
  <si>
    <t>These estimates do not reflect the effects of the Honoring Our PACT Act (Public Law 117-168). That law will decrease the number of veterans who are enrolled in priority groups 7 and 8 and, therefore, will reduce the estimated savings from this option.</t>
  </si>
  <si>
    <t>Reduce the Annual Across-the-Board Adjustment for Federal Civilian Employees' Pay</t>
  </si>
  <si>
    <t>About 20 percent of the discretionary savings displayed are reductions in intragovernmental payments. Such transactions would transfer resources from one category of the budget to another: Reducing future increases in federal pay would lower agencies' contributions for federal employees' retirement, Social Security, and Medicare, but those smaller payments would reduce federal receipts by an equal amount and thus would offset part of the savings. The increase in mandatory outlays shown above represents the reduction in those offsetting receipts.</t>
  </si>
  <si>
    <t>Reduce Funding for Certain Grants to State and Local Governments</t>
  </si>
  <si>
    <t>Repeal the Davis-Bacon Act</t>
  </si>
  <si>
    <t>Spending authority</t>
  </si>
  <si>
    <t>Spending authority includes both budget authority and obligation limitations (such as those for certain transportation programs).</t>
  </si>
  <si>
    <t>These estimates include savings in budget authority that was specified by division J of Public Law 117-58, the Infrastructure Investment and Jobs Act (IIJA), which provided funding through 2026 for certain programs. In the Congressional Budget Office's baseline, IIJA funding is projected to continue in future years; these estimates do not include that projected funding.</t>
  </si>
  <si>
    <t>Raise the Tax Rates on Long-Term Capital Gains and Qualified Dividends by 2 Percentage Points</t>
  </si>
  <si>
    <t>Data source: Staff of the Joint Committee on Taxation.</t>
  </si>
  <si>
    <t>Eliminate or Modify Head-of-Household Filing Status</t>
  </si>
  <si>
    <t>Eliminate head-of-household filing status</t>
  </si>
  <si>
    <t>Limit head-of-household filing status to unmarried people with a qualifying child under age 17</t>
  </si>
  <si>
    <t>Limit the Deduction for Charitable Giving</t>
  </si>
  <si>
    <t>Limit deductibility to charitable contributions in excess of 2 percent of adjusted gross income</t>
  </si>
  <si>
    <t>Limit deductibility to cash contributions</t>
  </si>
  <si>
    <t>Eliminate the Tax Exemption for New Qualified Private Activity Bonds</t>
  </si>
  <si>
    <t>These estimates do not include any potential interaction between private activity bonds and the low-income housing tax credit.</t>
  </si>
  <si>
    <t>Expand the Base of the Net Investment Income Tax to Include the Income of Active Participants in S Corporations and Limited Partnerships</t>
  </si>
  <si>
    <t>Tax Carried Interest as Ordinary Income</t>
  </si>
  <si>
    <t>Include VA's Disability Payments in Taxable Income</t>
  </si>
  <si>
    <t>Further Limit Annual Contributions to Retirement Plans</t>
  </si>
  <si>
    <t>To the extent that the option would affect Social Security payroll taxes, a portion of the decrease in the deficit would be off-budget. In addition, the option would increase outlays for Social Security by a small amount. The estimates do not include those effects on outlays.</t>
  </si>
  <si>
    <t>Eliminate Certain Tax Preferences for Education Expenses</t>
  </si>
  <si>
    <t>These estimates are relative to a baseline that does not reflect the effects of the Administration's recent proposed changes to student loan forgiveness and income-driven repayment plans.</t>
  </si>
  <si>
    <t>Lower the Investment Income Limit for the Earned Income Tax Credit and Extend That Limit to the Refundable Portion of the Child Tax Credit</t>
  </si>
  <si>
    <t>Require People Who Claim the Earned Income Tax Credit and Child Tax Credit to Have a Social Security Number That Is Valid for Employment</t>
  </si>
  <si>
    <t>Expand Social Security to Include Newly Hired State and Local Government Employees</t>
  </si>
  <si>
    <t>An offset to reflect reduced income and payroll taxes has been applied to the estimates in this table.</t>
  </si>
  <si>
    <t>The decrease in the deficit would consist of an increase in receipts from Social Security payroll taxes (which would be off-budget), offset in part by a reduction in individual tax revenues (which would be on-budget). In addition, the option would increase outlays for Social Security by a small amount in the short term. The estimates do not include those effects on outlays.</t>
  </si>
  <si>
    <t>Increase the Corporate Income Tax Rate by 1 Percentage Point</t>
  </si>
  <si>
    <t>Repeal the “Last In, First Out” Approach to Inventory Identification and the “Lower of Cost or Market” and “Subnormal Goods” Methods of Inventory Valuation</t>
  </si>
  <si>
    <t>Require Half of Advertising Expenses to Be Amortized Over 5 or 10 Years</t>
  </si>
  <si>
    <t>Require half of advertising expenses to be amortized over 5 years</t>
  </si>
  <si>
    <t>Require half of advertising expenses to be amortized over 10 years</t>
  </si>
  <si>
    <t>Repeal the Low-Income Housing Tax Credit</t>
  </si>
  <si>
    <t>Increase All Taxes on Alcoholic Beverages to $16 per Proof Gallon and Index Them for Inflation</t>
  </si>
  <si>
    <t>Increase tax</t>
  </si>
  <si>
    <t>Increase tax and index for inflation</t>
  </si>
  <si>
    <t>Increase Excise Taxes on Tobacco Products</t>
  </si>
  <si>
    <t>Change in Revenues</t>
  </si>
  <si>
    <t>Data sources: Staff of the Joint Committee on Taxation; Congressional Budget Office.</t>
  </si>
  <si>
    <t>Increase Excise Taxes on Motor Fuels and Index Them for Inflation</t>
  </si>
  <si>
    <t>Impose a Tax on Financial Transactions</t>
  </si>
  <si>
    <t>Increase or Decrease (-) in the Deficit</t>
  </si>
  <si>
    <t>This option would take effect in January 2024, although an increase in the deficit would occur earlier because of an immediate reduction in the value of financial assets.</t>
  </si>
  <si>
    <t>Increase Certain Fees Charged by U.S. Citizenship and Immigration Services and Customs and Border Protection by 20 Percent</t>
  </si>
  <si>
    <t>USCIS fees</t>
  </si>
  <si>
    <t>  -0.1</t>
  </si>
  <si>
    <t>  -2.2</t>
  </si>
  <si>
    <t>  -5.4</t>
  </si>
  <si>
    <t>CBP = Customs and Border Protection; USCIS = U.S. Citizenship and Immigration Services.</t>
  </si>
  <si>
    <t>a. The decrease in the deficit in 2032 is smaller than in other years because, under current law, certain fees collected by CBP—the Consolidated Omnibus Budget Reconciliation Act (COBRA) customs fees and merchandise processing fees—expire at the end of 2031.</t>
  </si>
  <si>
    <t>Increase Federal Civilian Employees’ Contributions to the Federal Employees Retirement System</t>
  </si>
  <si>
    <t>Establish Caps on Federal Spending for Medicaid</t>
  </si>
  <si>
    <t>Apply Caps to All Eligibility Categories, With Growth of Caps Based on the CPI-U</t>
  </si>
  <si>
    <t>Apply Caps to All Eligibility Categories, With Growth of Caps Based on the CPI-U Plus 1 Percentage Point</t>
  </si>
  <si>
    <t>CPI-U = consumer price index for all urban consumers; * = between -$500 million and zero.</t>
  </si>
  <si>
    <t>a. This policy would be enacted in 2023 and would take effect in October 2024. A reduction in the deficit would occur in 2024 because CBO expects that states that would have opted to expand Medicaid coverage in 2024 would choose not to do so in anticipation of the caps' taking effect in 2025.</t>
  </si>
  <si>
    <t>c. This policy would be enacted in 2023 and would take effect in October 2025. A reduction in the deficit would occur in 2024 and 2025 because CBO expects that states that would have opted to expand Medicaid coverage in 2024 and 2025 would choose not to do so in anticipation of the caps' taking effect in 2026.</t>
  </si>
  <si>
    <t>Limit State Taxes on Health Care Providers</t>
  </si>
  <si>
    <t>Lower the Tax Threshold to 5 Percent</t>
  </si>
  <si>
    <t>Lower the Tax Threshold to 2.5 Percent</t>
  </si>
  <si>
    <t>Eliminate the Tax Threshold</t>
  </si>
  <si>
    <t>* = between -$500 million and zero.</t>
  </si>
  <si>
    <t>a. Estimates include the effects on Social Security payroll tax receipts, which are classified as off-budget.</t>
  </si>
  <si>
    <t>Reduce Federal Medicaid Matching Rates</t>
  </si>
  <si>
    <t>Use the Same Matching Rate for All Categories of Administrative Services</t>
  </si>
  <si>
    <t>Remove the FMAP Floor</t>
  </si>
  <si>
    <t>Reduce the Matching Rate for Enrollees Made Eligible by the ACA</t>
  </si>
  <si>
    <t>ACA = Affordable Care Act; FMAP = federal medical assistance percentage.</t>
  </si>
  <si>
    <t>Increase the Premiums Paid for Medicare Part B</t>
  </si>
  <si>
    <t>Increase the Basic Premium</t>
  </si>
  <si>
    <t>Freeze Income Thresholds for Income-Related Premiums</t>
  </si>
  <si>
    <t>Combine Both Alternatives</t>
  </si>
  <si>
    <t>Reduce Medicare Advantage Benchmarks</t>
  </si>
  <si>
    <t>Reduce Tax Subsidies for Employment-Based Health Insurance</t>
  </si>
  <si>
    <t>Limit the Income and Payroll Tax Exclusion for Employment-Based Health Insurance to the 50th Percentile of Premiums</t>
  </si>
  <si>
    <t>Limit the Income and Payroll Tax Exclusion for Employment-Based Health Insurance to the 75th Percentile of Premiums</t>
  </si>
  <si>
    <t>Limit Only the Income Tax Exclusion for Employment-Based Health Insurance to the 50th Percentile of Premiums</t>
  </si>
  <si>
    <t>Reduce Social Security Benefits for High Earners</t>
  </si>
  <si>
    <t>Add a bend point at the 70th percentile of earners and reduce PIA factors over 9 years</t>
  </si>
  <si>
    <t>Add a bend point at the 50th percentile of earners and reduce PIA factors over 9 years</t>
  </si>
  <si>
    <t>Add a bend point at the 50th percentile of earners and reduce PIA factors over 5 years</t>
  </si>
  <si>
    <t>PIA = primary insurance amount; * = between -$500 million and zero.</t>
  </si>
  <si>
    <t>Set Social Security Benefits to a Flat Amount</t>
  </si>
  <si>
    <t>Set Social Security benefits to 150 percent of the federal poverty guidelines</t>
  </si>
  <si>
    <t>Increase the Maximum Taxable Earnings That Are Subject to Social Security Payroll Taxes</t>
  </si>
  <si>
    <t>Subject earnings greater than $250,000 to payroll taxes</t>
  </si>
  <si>
    <t>This option would increase receipts from Social Security payroll taxes (which would be off-budget). That increase would be offset in part by a reduction in individual income tax revenues (which would be on-budget).</t>
  </si>
  <si>
    <t>a. Estimates include increased outlays for additional payments of Social Security benefits, which would be classified as off-budget.</t>
  </si>
  <si>
    <t>Reduce Spending on Other Mandatory Programs</t>
  </si>
  <si>
    <t>Total Change in Mandatory Outlays</t>
  </si>
  <si>
    <t>Change in outlays for VA disability compensation</t>
  </si>
  <si>
    <t>Change in outlays for income security programs</t>
  </si>
  <si>
    <t>Under this option, changes to VA disability compensation would take effect in January 2024; changes to child nutrition programs would take effect in July 2023; and changes to all other affected programs would take effect in October 2023.</t>
  </si>
  <si>
    <t>VA = Department of Veterans Affairs.</t>
  </si>
  <si>
    <t>Reduce the Department of Defense's Annual Budget</t>
  </si>
  <si>
    <t>The estimated outlay savings reflect the Congressional Budget Office's assessment of how quickly total funding provided to the Department of Defense is spent and do not reflect the details of any particular alternative.</t>
  </si>
  <si>
    <t>Reduce Nondefense Discretionary Spending</t>
  </si>
  <si>
    <t>Spending authority includes both budget authority and obligation limitations for certain transportation programs.</t>
  </si>
  <si>
    <t>Increase Individual Income Tax Rates</t>
  </si>
  <si>
    <t>Raise all tax rates on ordinary income by 1 percentage point</t>
  </si>
  <si>
    <t>Raise tax rates on ordinary income in the four highest brackets by 2 percentage points</t>
  </si>
  <si>
    <t>Impose a surtax of 1 percentage point on AGI above the standard deduction and exemption</t>
  </si>
  <si>
    <t>Impose a surtax of 2 percentage points on AGI above the sum of the standard deduction, exemptions, and the threshold of the fourth ordinary income tax bracket</t>
  </si>
  <si>
    <t>AGI = adjusted gross income.</t>
  </si>
  <si>
    <t>Eliminate or Limit Itemized Deductions</t>
  </si>
  <si>
    <t>Eliminate itemized deductions</t>
  </si>
  <si>
    <t>Eliminate state and local tax deductions</t>
  </si>
  <si>
    <t>Limit the tax benefit of itemized deductions to 15 percent of their total value</t>
  </si>
  <si>
    <t>Limit the tax benefit of itemized deductions to 4 percent of AGI</t>
  </si>
  <si>
    <t>Impose a New Payroll Tax</t>
  </si>
  <si>
    <t>Impose a payroll tax of 1 percent on earnings</t>
  </si>
  <si>
    <t>Impose a payroll tax of 2 percent on earnings</t>
  </si>
  <si>
    <t>Impose a Tax on Consumption</t>
  </si>
  <si>
    <t>Apply a 5 percent VAT to a broad base</t>
  </si>
  <si>
    <t>Apply a 5 percent VAT to a narrow base</t>
  </si>
  <si>
    <t>VAT = value-added tax.</t>
  </si>
  <si>
    <t>Impose a Tax on Emissions of Greenhouse Gases</t>
  </si>
  <si>
    <t>Apply a $25 tax per metric ton of emissions and increase tax annually by 5 percent, adjusted for inflation</t>
  </si>
  <si>
    <t>Apply a $25 tax per metric ton of emissions and increase tax annually by 2 percent, adjusted for inflation</t>
  </si>
  <si>
    <t>Apply a $25 tax per metric ton of emissions (excluding gasoline) and increase tax annually by 2 percent, adjusted for inflation</t>
  </si>
  <si>
    <t>Reduce Department of Energy Grants for Energy Conservation and Weatherization</t>
  </si>
  <si>
    <t>Reduce Department of Housing and Urban Development Funding for Community Development Block Grants</t>
  </si>
  <si>
    <t>Reduce Funding for Certain Department of Education Grants</t>
  </si>
  <si>
    <t>Reduce Funding for Certain Department of Justice Grants</t>
  </si>
  <si>
    <t>a. These estimates include savings in budget authority that was specified by division J of Public Law 117-58, the Infrastructure Investment and Jobs Act (IIJA), which provided funding through 2026 for certain programs. In the Congressional Budget Office's baseline, IIJA funding is projected to continue in future years; these estimates do not include that projected funding.</t>
  </si>
  <si>
    <r>
      <t>Reduce Environmental Protection Agency Funding for Wastewater and Drinking Water Infrastructure and Other Grants</t>
    </r>
    <r>
      <rPr>
        <vertAlign val="superscript"/>
        <sz val="11"/>
        <color theme="1"/>
        <rFont val="Arial"/>
        <family val="2"/>
      </rPr>
      <t>a</t>
    </r>
  </si>
  <si>
    <t>Function 050</t>
  </si>
  <si>
    <t>Functions 050, 700</t>
  </si>
  <si>
    <t>Function 150</t>
  </si>
  <si>
    <t>Functions 050, 150, 250, 270, 300, 350, 370, 400, 450, 500, 550, 570, 600, 650, 700, 750, 800</t>
  </si>
  <si>
    <t>Functions 050, 250, 270, 300, 350, 370, 400, 450, 500, 550, 600, 700, 750, 800</t>
  </si>
  <si>
    <t>Change the Tax Treatment of Capital Gains From Sales of Inherited Assets</t>
  </si>
  <si>
    <r>
      <t>CBP fees</t>
    </r>
    <r>
      <rPr>
        <vertAlign val="superscript"/>
        <sz val="11"/>
        <color theme="1"/>
        <rFont val="Arial"/>
        <family val="2"/>
      </rPr>
      <t>a</t>
    </r>
  </si>
  <si>
    <r>
      <t>Caps on Overall Spending</t>
    </r>
    <r>
      <rPr>
        <vertAlign val="superscript"/>
        <sz val="11"/>
        <color theme="1"/>
        <rFont val="Arial"/>
        <family val="2"/>
      </rPr>
      <t>a</t>
    </r>
  </si>
  <si>
    <r>
      <t>Caps on Spending per Enrollee</t>
    </r>
    <r>
      <rPr>
        <vertAlign val="superscript"/>
        <sz val="11"/>
        <color theme="1"/>
        <rFont val="Arial"/>
        <family val="2"/>
      </rPr>
      <t>c</t>
    </r>
  </si>
  <si>
    <r>
      <t>Change in Revenues</t>
    </r>
    <r>
      <rPr>
        <vertAlign val="superscript"/>
        <sz val="11"/>
        <color theme="1"/>
        <rFont val="Arial"/>
        <family val="2"/>
      </rPr>
      <t>a</t>
    </r>
  </si>
  <si>
    <t>Functions 600, 700</t>
  </si>
  <si>
    <t>Functions 400, 500</t>
  </si>
  <si>
    <r>
      <t>Change in Revenues</t>
    </r>
    <r>
      <rPr>
        <vertAlign val="superscript"/>
        <sz val="11"/>
        <color theme="1"/>
        <rFont val="Arial"/>
        <family val="2"/>
      </rPr>
      <t>e</t>
    </r>
  </si>
  <si>
    <t>www.cbo.gov/publication/58164</t>
  </si>
  <si>
    <t>Volume II, Mandatory Spending</t>
  </si>
  <si>
    <t>Volume II, Discretionary Spending</t>
  </si>
  <si>
    <t>Volume II, Revenues</t>
  </si>
  <si>
    <t xml:space="preserve">www.cbo.gov/publication/58164 </t>
  </si>
  <si>
    <t xml:space="preserve">www.cbo.gov/publication/58163 </t>
  </si>
  <si>
    <t>This file reproduces the tables that appear in CBO's December 2022 volumes of budget options:</t>
  </si>
  <si>
    <t>www.cbo.gov/publication/58163</t>
  </si>
  <si>
    <t>Unless this file indicates otherwise, all years referred to regarding budgetary spending and revenues are federal fiscal years, which run from October 1 to September 30 and are designated by the calendar year in which they end.</t>
  </si>
  <si>
    <t>Some of the tables in this file give values for two related concepts: budget authority and outlays. Budget authority is the authority provided by federal law to incur financial obligations that will result in immediate or future outlays of federal government funds.</t>
  </si>
  <si>
    <t>The numbers in the tables are expressed in nominal (current-year) dollars. Those numbers may not add up to totals because of rounding. For changes in outlays, revenues, and the deficit, negative numbers indicate decreases, and positive numbers indicate increases. Thus, negative numbers for outlays and positive numbers for revenues reduce the deficit, and positive numbers for spending and negative numbers for revenues increase it.</t>
  </si>
  <si>
    <t>Certain changes in tax provisions would reduce outlays for refundable tax credits; those effects are incorporated in the estimates.</t>
  </si>
  <si>
    <t>The estimates in this file generally reflect changes in the behavior of individuals, businesses, and other entities. They do not incorporate macroeconomic effects—that is, behavioral changes that affect total output in the economy.</t>
  </si>
  <si>
    <t>Options that would increase an excise tax (or any other indirect tax imposed at an intermediate stage of production and sale) or employers’ contributions for payroll taxes would reduce the amount of income subject to income and payroll taxes. The estimates for options in these volumes that increase indirect taxes or employers’ contributions for payroll taxes include an offset that accounts for that reduction.</t>
  </si>
  <si>
    <t>Many of the options could be used as building blocks for broader changes. In some cases, however, combining various spending or revenue options would produce budgetary effects that would differ from the sums of those estimates as presented here because some options would overlap or interact in ways that would change their budgetary effect. Furthermore, some options are mutually exclusive.</t>
  </si>
  <si>
    <t xml:space="preserve">The options come from a variety of sources, including legislative proposals, various Administrations’ budget proposals, Congressional staff, other government entities, and private groups. </t>
  </si>
  <si>
    <t xml:space="preserve">The options are intended to reflect a range of possibilities rather than to rank priorities or present a comprehensive list. The inclusion or exclusion of a particular option does not represent an endorsement or a rejection by CBO. </t>
  </si>
  <si>
    <t>In keeping with CBO’s mandate to provide objective, impartial analysis, these volumes make no recommendations.</t>
  </si>
  <si>
    <r>
      <t>CBO’s website includes a search tool that allows users to filter options by savings amount, major budget category, budget function, topic, and date (</t>
    </r>
    <r>
      <rPr>
        <sz val="11"/>
        <color theme="1"/>
        <rFont val="Arial"/>
        <family val="2"/>
      </rPr>
      <t>www.cbo.gov/budget-options</t>
    </r>
    <r>
      <rPr>
        <sz val="11"/>
        <color rgb="FF000000"/>
        <rFont val="Arial"/>
        <family val="2"/>
      </rPr>
      <t>). The tool includes all of the options that appear in this file. It also includes options that were analyzed in the past and were not updated for this report but that remain informative. In addition, the website includes previous editions of this report (</t>
    </r>
    <r>
      <rPr>
        <sz val="11"/>
        <color theme="1"/>
        <rFont val="Arial"/>
        <family val="2"/>
      </rPr>
      <t>www.cbo.gov/about/products/major-recurring-reports#4</t>
    </r>
    <r>
      <rPr>
        <sz val="11"/>
        <color rgb="FF000000"/>
        <rFont val="Arial"/>
        <family val="2"/>
      </rPr>
      <t>).</t>
    </r>
  </si>
  <si>
    <r>
      <t xml:space="preserve">The report from which this file is drawn offers more detail about each option. Options in the Volume I tab appear in </t>
    </r>
    <r>
      <rPr>
        <i/>
        <sz val="11"/>
        <color rgb="FF000000"/>
        <rFont val="Arial"/>
        <family val="2"/>
      </rPr>
      <t xml:space="preserve">Options for Reducing the Deficit, 2023 to 2032—Volume I: Larger Reductions, </t>
    </r>
    <r>
      <rPr>
        <sz val="11"/>
        <color theme="1"/>
        <rFont val="Arial"/>
        <family val="2"/>
      </rPr>
      <t>www.cbo.gov/publication/58164</t>
    </r>
    <r>
      <rPr>
        <sz val="11"/>
        <color rgb="FF1F497D"/>
        <rFont val="Arial"/>
        <family val="2"/>
      </rPr>
      <t>.</t>
    </r>
    <r>
      <rPr>
        <i/>
        <sz val="11"/>
        <color rgb="FF000000"/>
        <rFont val="Arial"/>
        <family val="2"/>
      </rPr>
      <t xml:space="preserve"> </t>
    </r>
    <r>
      <rPr>
        <sz val="11"/>
        <color rgb="FF000000"/>
        <rFont val="Arial"/>
        <family val="2"/>
      </rPr>
      <t xml:space="preserve">Options in the Volume II tabs appear in </t>
    </r>
    <r>
      <rPr>
        <i/>
        <sz val="11"/>
        <color rgb="FF000000"/>
        <rFont val="Arial"/>
        <family val="2"/>
      </rPr>
      <t xml:space="preserve">Options for Reducing the Deficit, 2023 to 2032—Volume II: Smaller Reductions, </t>
    </r>
    <r>
      <rPr>
        <sz val="11"/>
        <color theme="1"/>
        <rFont val="Arial"/>
        <family val="2"/>
      </rPr>
      <t>www.cbo.gov/publication/58163</t>
    </r>
    <r>
      <rPr>
        <sz val="11"/>
        <color rgb="FF1F497D"/>
        <rFont val="Arial"/>
        <family val="2"/>
      </rPr>
      <t>.</t>
    </r>
    <r>
      <rPr>
        <sz val="11"/>
        <color rgb="FF000000"/>
        <rFont val="Arial"/>
        <family val="2"/>
      </rPr>
      <t xml:space="preserve">   </t>
    </r>
  </si>
  <si>
    <t>Volume I</t>
  </si>
  <si>
    <t>Options for Reducing the Deficit, 2023 to 2032—Volume I: Larger Reductions</t>
  </si>
  <si>
    <t>Options for Reducing the Deficit, 2023 to 2032—Volume II: Smaller Reductions</t>
  </si>
  <si>
    <r>
      <t xml:space="preserve">This file reproduces the tables that appear in CBO's December 2022 volume of budget options, </t>
    </r>
    <r>
      <rPr>
        <i/>
        <sz val="11"/>
        <color rgb="FF000000"/>
        <rFont val="Arial"/>
        <family val="2"/>
      </rPr>
      <t>Options for Reducing the Deficit, 2023 to 2032—Volume I: Larger Reductions.</t>
    </r>
  </si>
  <si>
    <r>
      <t xml:space="preserve">This file reproduces the tables that appear in CBO's December 2022 volume of budget options, </t>
    </r>
    <r>
      <rPr>
        <i/>
        <sz val="11"/>
        <color rgb="FF000000"/>
        <rFont val="Arial"/>
        <family val="2"/>
      </rPr>
      <t>Options for Reducing the Deficit, 2023 to 2032—Volume II: Smaller Reductions.</t>
    </r>
  </si>
  <si>
    <r>
      <t xml:space="preserve">The estimates for the options in this file were completed in October 2022 and were generally calculated relative to the 10-year spending and revenue projections in Congressional Budget Office, </t>
    </r>
    <r>
      <rPr>
        <i/>
        <sz val="11"/>
        <rFont val="Arial"/>
        <family val="2"/>
      </rPr>
      <t>The Budget and Economic Outlook: 2022 to 2032</t>
    </r>
    <r>
      <rPr>
        <sz val="11"/>
        <rFont val="Arial"/>
        <family val="2"/>
      </rPr>
      <t xml:space="preserve"> (May 2022), www.cbo.gov/publication/57950. The spending estimates that appear in this file were prepared by CBO. Most of the estimates of tax provisions were prepared by the staff of the Joint Committee on Taxation, although some were done by CBO. Estimates may differ from any previous or subsequent cost estimates for legislative proposals that resemble the options presented here. </t>
    </r>
  </si>
  <si>
    <t>Set Social Security benefits to 125 percent of the federal poverty guidelines</t>
  </si>
  <si>
    <r>
      <t>Raise the taxable share to 90 percent of earnings</t>
    </r>
    <r>
      <rPr>
        <vertAlign val="superscript"/>
        <sz val="11"/>
        <color theme="1"/>
        <rFont val="Arial"/>
        <family val="2"/>
      </rPr>
      <t>a</t>
    </r>
  </si>
  <si>
    <t>COLA = cost-of-living adjustment; SNAP = Supplemental Nutrition Assistance Program; * = between -$50 million and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</si>
</sst>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rgb="FF000000"/>
      <name val="Arial"/>
      <family val="2"/>
    </font>
    <font>
      <i/>
      <sz val="11"/>
      <color rgb="FF000000"/>
      <name val="Arial"/>
      <family val="2"/>
    </font>
    <font>
      <sz val="11"/>
      <color rgb="FFFF0000"/>
      <name val="Arial"/>
      <family val="2"/>
    </font>
    <font>
      <sz val="11"/>
      <color theme="1"/>
      <name val="Arial"/>
      <family val="2"/>
    </font>
    <font>
      <b/>
      <sz val="11"/>
      <name val="Arial"/>
      <family val="2"/>
    </font>
    <font>
      <b/>
      <sz val="11"/>
      <color theme="1"/>
      <name val="Arial"/>
      <family val="2"/>
    </font>
    <font>
      <sz val="11"/>
      <color rgb="FF1F497D"/>
      <name val="Arial"/>
      <family val="2"/>
    </font>
    <font>
      <sz val="11"/>
      <name val="Arial"/>
      <family val="2"/>
    </font>
    <font>
      <sz val="12"/>
      <name val="Arial"/>
      <family val="2"/>
    </font>
    <font>
      <i/>
      <sz val="11"/>
      <color theme="1"/>
      <name val="Arial"/>
      <family val="2"/>
    </font>
    <font>
      <i/>
      <sz val="11"/>
      <name val="Arial"/>
      <family val="2"/>
    </font>
    <font>
      <vertAlign val="superscript"/>
      <sz val="11"/>
      <color theme="1"/>
      <name val="Arial"/>
      <family val="2"/>
    </font>
    <font>
      <u/>
      <sz val="11"/>
      <color theme="1"/>
      <name val="Arial"/>
      <family val="2"/>
    </font>
  </fonts>
  <fills count="3">
    <fill>
      <patternFill patternType="none"/>
    </fill>
    <fill>
      <patternFill patternType="gray125"/>
    </fill>
    <fill>
      <patternFill patternType="solid">
        <fgColor theme="4"/>
        <bgColor indexed="64"/>
      </patternFill>
    </fill>
  </fills>
  <borders count="3">
    <border>
      <left/>
      <right/>
      <top/>
      <bottom/>
      <diagonal/>
    </border>
    <border>
      <left/>
      <right/>
      <top/>
      <bottom style="thin">
        <color indexed="64"/>
      </bottom>
      <diagonal/>
    </border>
    <border>
      <left/>
      <right/>
      <top/>
      <bottom style="dotted">
        <color auto="1"/>
      </bottom>
      <diagonal/>
    </border>
  </borders>
  <cellStyleXfs count="6">
    <xf numFmtId="0" fontId="0" fillId="0" borderId="0"/>
    <xf numFmtId="0" fontId="7" fillId="0" borderId="0" applyNumberFormat="0" applyFill="0" applyBorder="0" applyAlignment="0" applyProtection="0"/>
    <xf numFmtId="0" fontId="9" fillId="0" borderId="0"/>
    <xf numFmtId="0" fontId="7" fillId="0" borderId="0" applyNumberFormat="0" applyFill="0" applyBorder="0" applyAlignment="0" applyProtection="0"/>
    <xf numFmtId="1" fontId="7" fillId="0" borderId="0">
      <alignment horizontal="left" indent="2"/>
    </xf>
    <xf numFmtId="1" fontId="7" fillId="2" borderId="0">
      <alignment horizontal="left" indent="2"/>
    </xf>
  </cellStyleXfs>
  <cellXfs count="70">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left" wrapText="1"/>
    </xf>
    <xf numFmtId="0" fontId="10" fillId="0" borderId="0" xfId="2" applyFont="1"/>
    <xf numFmtId="1" fontId="7" fillId="0" borderId="0" xfId="1" applyNumberFormat="1" applyAlignment="1">
      <alignment horizontal="left" indent="2"/>
    </xf>
    <xf numFmtId="0" fontId="7" fillId="0" borderId="0" xfId="1" applyAlignment="1">
      <alignment horizontal="right"/>
    </xf>
    <xf numFmtId="0" fontId="11" fillId="0" borderId="0" xfId="1" applyFont="1" applyAlignment="1"/>
    <xf numFmtId="0" fontId="7" fillId="0" borderId="0" xfId="1" applyAlignment="1">
      <alignment horizontal="left" indent="2"/>
    </xf>
    <xf numFmtId="0" fontId="7" fillId="0" borderId="0" xfId="3"/>
    <xf numFmtId="0" fontId="0" fillId="0" borderId="0" xfId="0"/>
    <xf numFmtId="0" fontId="4" fillId="0" borderId="0" xfId="0" applyFont="1"/>
    <xf numFmtId="0" fontId="4" fillId="0" borderId="0" xfId="0" applyFont="1" applyAlignment="1">
      <alignment horizontal="right"/>
    </xf>
    <xf numFmtId="0" fontId="6" fillId="0" borderId="0" xfId="0" applyFont="1"/>
    <xf numFmtId="1" fontId="7" fillId="0" borderId="0" xfId="3" applyNumberFormat="1" applyAlignment="1">
      <alignment horizontal="left" indent="2"/>
    </xf>
    <xf numFmtId="0" fontId="10" fillId="0" borderId="0" xfId="2" applyFont="1"/>
    <xf numFmtId="164" fontId="4" fillId="0" borderId="0" xfId="0" applyNumberFormat="1" applyFont="1" applyAlignment="1">
      <alignment horizontal="right"/>
    </xf>
    <xf numFmtId="0" fontId="6" fillId="0" borderId="0" xfId="0" applyFont="1" applyAlignment="1">
      <alignment horizontal="right"/>
    </xf>
    <xf numFmtId="164" fontId="13" fillId="0" borderId="0" xfId="0" applyNumberFormat="1" applyFont="1" applyAlignment="1">
      <alignment horizontal="right"/>
    </xf>
    <xf numFmtId="0" fontId="4" fillId="0" borderId="2" xfId="0" applyFont="1" applyBorder="1"/>
    <xf numFmtId="164" fontId="4" fillId="0" borderId="2" xfId="0" applyNumberFormat="1" applyFont="1" applyBorder="1" applyAlignment="1">
      <alignment horizontal="right"/>
    </xf>
    <xf numFmtId="1" fontId="4" fillId="0" borderId="0" xfId="0" applyNumberFormat="1" applyFont="1" applyAlignment="1">
      <alignment horizontal="right"/>
    </xf>
    <xf numFmtId="0" fontId="6" fillId="0" borderId="0" xfId="0" applyFont="1" applyAlignment="1"/>
    <xf numFmtId="0" fontId="4" fillId="0" borderId="0" xfId="0" applyFont="1" applyAlignment="1"/>
    <xf numFmtId="0" fontId="6" fillId="0" borderId="0" xfId="0" applyFont="1" applyAlignment="1">
      <alignment horizontal="center"/>
    </xf>
    <xf numFmtId="0" fontId="4" fillId="0" borderId="0" xfId="0" applyFont="1" applyAlignment="1">
      <alignment horizontal="left"/>
    </xf>
    <xf numFmtId="0" fontId="4" fillId="0" borderId="2" xfId="0" applyFont="1" applyBorder="1" applyAlignment="1">
      <alignment horizontal="right"/>
    </xf>
    <xf numFmtId="0" fontId="4" fillId="0" borderId="2" xfId="0" applyFont="1" applyBorder="1" applyAlignment="1"/>
    <xf numFmtId="0" fontId="6" fillId="0" borderId="0" xfId="0" applyFont="1" applyAlignment="1">
      <alignment horizontal="left"/>
    </xf>
    <xf numFmtId="0" fontId="13" fillId="0" borderId="0" xfId="0" applyFont="1" applyAlignment="1">
      <alignment horizontal="right"/>
    </xf>
    <xf numFmtId="0" fontId="1" fillId="0" borderId="0" xfId="0" applyFont="1" applyAlignment="1"/>
    <xf numFmtId="0" fontId="4" fillId="0" borderId="0" xfId="0" applyFont="1"/>
    <xf numFmtId="0" fontId="3" fillId="0" borderId="0" xfId="1" applyFont="1" applyAlignment="1">
      <alignment horizontal="right"/>
    </xf>
    <xf numFmtId="0" fontId="4" fillId="0" borderId="0" xfId="0" applyFont="1"/>
    <xf numFmtId="0" fontId="7" fillId="0" borderId="0" xfId="3" applyAlignment="1">
      <alignment horizontal="left" indent="2"/>
    </xf>
    <xf numFmtId="0" fontId="8" fillId="0" borderId="0" xfId="1" applyFont="1" applyFill="1" applyAlignment="1">
      <alignment horizontal="right"/>
    </xf>
    <xf numFmtId="0" fontId="1" fillId="0" borderId="0" xfId="0" applyFont="1" applyAlignment="1">
      <alignment wrapText="1"/>
    </xf>
    <xf numFmtId="0" fontId="7" fillId="0" borderId="0" xfId="3" applyAlignment="1">
      <alignment wrapText="1"/>
    </xf>
    <xf numFmtId="0" fontId="2" fillId="0" borderId="0" xfId="0" applyFont="1" applyAlignment="1">
      <alignment wrapText="1"/>
    </xf>
    <xf numFmtId="0" fontId="7" fillId="0" borderId="0" xfId="3" applyAlignment="1">
      <alignment horizontal="right"/>
    </xf>
    <xf numFmtId="0" fontId="4"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7" fillId="0" borderId="0" xfId="3" applyFill="1" applyAlignment="1">
      <alignment horizontal="right"/>
    </xf>
    <xf numFmtId="0" fontId="6" fillId="0" borderId="0" xfId="0" applyFont="1"/>
    <xf numFmtId="0" fontId="6" fillId="0" borderId="1" xfId="0" applyFont="1" applyBorder="1"/>
    <xf numFmtId="0" fontId="6" fillId="0" borderId="0" xfId="0" applyFont="1" applyAlignment="1">
      <alignment horizontal="right" wrapText="1"/>
    </xf>
    <xf numFmtId="0" fontId="6" fillId="0" borderId="1" xfId="0" applyFont="1" applyBorder="1" applyAlignment="1">
      <alignment horizontal="right" wrapText="1"/>
    </xf>
    <xf numFmtId="0" fontId="7" fillId="0" borderId="0" xfId="3" applyAlignment="1">
      <alignment horizontal="left" wrapText="1"/>
    </xf>
    <xf numFmtId="0" fontId="2" fillId="0" borderId="0" xfId="0" applyFont="1" applyAlignment="1">
      <alignment horizontal="left" wrapText="1"/>
    </xf>
    <xf numFmtId="0" fontId="4" fillId="0" borderId="0" xfId="0" applyFont="1" applyAlignment="1">
      <alignment horizontal="left"/>
    </xf>
    <xf numFmtId="0" fontId="10" fillId="0" borderId="0" xfId="0" applyFont="1" applyAlignment="1">
      <alignment horizontal="left"/>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top"/>
    </xf>
    <xf numFmtId="0" fontId="1"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8" fillId="0" borderId="0" xfId="3" applyFont="1" applyAlignment="1">
      <alignment vertical="center" wrapText="1"/>
    </xf>
    <xf numFmtId="0" fontId="7" fillId="0" borderId="0" xfId="3" applyAlignment="1">
      <alignment horizontal="left"/>
    </xf>
    <xf numFmtId="0" fontId="6" fillId="0" borderId="0" xfId="0" applyFont="1" applyAlignment="1">
      <alignment horizontal="right"/>
    </xf>
    <xf numFmtId="164" fontId="4" fillId="0" borderId="0" xfId="0" applyNumberFormat="1" applyFont="1" applyAlignment="1">
      <alignment horizontal="right" vertical="top"/>
    </xf>
    <xf numFmtId="0" fontId="4"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center"/>
    </xf>
    <xf numFmtId="0" fontId="1" fillId="0" borderId="0" xfId="0" applyFont="1" applyAlignment="1">
      <alignment horizontal="left"/>
    </xf>
    <xf numFmtId="0" fontId="4" fillId="0" borderId="2" xfId="0" applyFont="1" applyBorder="1" applyAlignment="1">
      <alignment horizontal="left"/>
    </xf>
    <xf numFmtId="0" fontId="4" fillId="0" borderId="0" xfId="0" applyFont="1"/>
  </cellXfs>
  <cellStyles count="6">
    <cellStyle name="Hyperlink" xfId="3" builtinId="8" customBuiltin="1"/>
    <cellStyle name="Hyperlink 2" xfId="1" xr:uid="{79220672-A004-491C-BBE9-07C70BEEB805}"/>
    <cellStyle name="Hyperlink unchanging" xfId="5" xr:uid="{46C73E49-E9DB-4B67-9454-6EE22A4F2A17}"/>
    <cellStyle name="Normal" xfId="0" builtinId="0"/>
    <cellStyle name="Normal 19" xfId="2" xr:uid="{3C6F4773-D038-48A3-9BF2-BA5F5B01B43A}"/>
    <cellStyle name="Style 1" xfId="4" xr:uid="{EBBD2671-C5D6-4E85-AA56-D462D254759B}"/>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o.gov/publication/58164" TargetMode="External"/><Relationship Id="rId1" Type="http://schemas.openxmlformats.org/officeDocument/2006/relationships/hyperlink" Target="http://www.cbo.gov/publication/5816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79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816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816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816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81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4A28E-D2D5-47E3-B3E7-4E76CA2AE8BB}">
  <dimension ref="A1:B119"/>
  <sheetViews>
    <sheetView tabSelected="1" zoomScaleNormal="100" workbookViewId="0"/>
  </sheetViews>
  <sheetFormatPr baseColWidth="10" defaultColWidth="8.83203125" defaultRowHeight="15" x14ac:dyDescent="0.2"/>
  <cols>
    <col min="1" max="1" width="157.33203125" customWidth="1"/>
    <col min="2" max="2" width="18.5" customWidth="1"/>
  </cols>
  <sheetData>
    <row r="1" spans="1:2" ht="15" customHeight="1" x14ac:dyDescent="0.2">
      <c r="A1" s="37" t="s">
        <v>364</v>
      </c>
      <c r="B1" s="31"/>
    </row>
    <row r="2" spans="1:2" ht="16" x14ac:dyDescent="0.2">
      <c r="A2" s="39" t="s">
        <v>379</v>
      </c>
      <c r="B2" s="31"/>
    </row>
    <row r="3" spans="1:2" s="11" customFormat="1" ht="16" x14ac:dyDescent="0.2">
      <c r="A3" s="38" t="s">
        <v>362</v>
      </c>
      <c r="B3" s="31"/>
    </row>
    <row r="4" spans="1:2" s="11" customFormat="1" ht="16" x14ac:dyDescent="0.2">
      <c r="A4" s="39" t="s">
        <v>380</v>
      </c>
      <c r="B4" s="31"/>
    </row>
    <row r="5" spans="1:2" ht="16" x14ac:dyDescent="0.2">
      <c r="A5" s="38" t="s">
        <v>363</v>
      </c>
    </row>
    <row r="6" spans="1:2" x14ac:dyDescent="0.2">
      <c r="A6" s="1"/>
    </row>
    <row r="7" spans="1:2" x14ac:dyDescent="0.2">
      <c r="A7" s="2" t="s">
        <v>123</v>
      </c>
    </row>
    <row r="8" spans="1:2" x14ac:dyDescent="0.2">
      <c r="A8" s="45" t="s">
        <v>124</v>
      </c>
      <c r="B8" s="47" t="s">
        <v>125</v>
      </c>
    </row>
    <row r="9" spans="1:2" x14ac:dyDescent="0.2">
      <c r="A9" s="46"/>
      <c r="B9" s="48"/>
    </row>
    <row r="10" spans="1:2" x14ac:dyDescent="0.2">
      <c r="A10" s="3"/>
      <c r="B10" s="4"/>
    </row>
    <row r="11" spans="1:2" x14ac:dyDescent="0.2">
      <c r="A11" s="35" t="str">
        <f ca="1">HYPERLINK("#"&amp;CELL("address", Notes!A8), "Notes")</f>
        <v>Notes</v>
      </c>
      <c r="B11" s="36"/>
    </row>
    <row r="12" spans="1:2" s="11" customFormat="1" x14ac:dyDescent="0.2">
      <c r="A12" s="35"/>
      <c r="B12" s="36"/>
    </row>
    <row r="13" spans="1:2" x14ac:dyDescent="0.2">
      <c r="A13" s="16" t="s">
        <v>378</v>
      </c>
      <c r="B13" s="11"/>
    </row>
    <row r="14" spans="1:2" s="11" customFormat="1" x14ac:dyDescent="0.2">
      <c r="A14" s="16"/>
    </row>
    <row r="15" spans="1:2" s="11" customFormat="1" x14ac:dyDescent="0.2">
      <c r="A15" s="6" t="str">
        <f ca="1">HYPERLINK("#"&amp;CELL("address", 'Volume I'!A6), "Option 1. Establish Caps on Federal Spending for Medicaid")</f>
        <v>Option 1. Establish Caps on Federal Spending for Medicaid</v>
      </c>
      <c r="B15" s="40" t="str">
        <f>HYPERLINK("https://www.cbo.gov/budget-options/58622", "Option 1")</f>
        <v>Option 1</v>
      </c>
    </row>
    <row r="16" spans="1:2" s="11" customFormat="1" x14ac:dyDescent="0.2">
      <c r="A16" s="6" t="str">
        <f ca="1">HYPERLINK("#"&amp;CELL("address", 'Volume I'!A40), "Option 2. Limit State Taxes on Health Care Providers")</f>
        <v>Option 2. Limit State Taxes on Health Care Providers</v>
      </c>
      <c r="B16" s="40" t="str">
        <f>HYPERLINK("https://www.cbo.gov/budget-options/58623", "Option 2")</f>
        <v>Option 2</v>
      </c>
    </row>
    <row r="17" spans="1:2" s="11" customFormat="1" x14ac:dyDescent="0.2">
      <c r="A17" s="6" t="str">
        <f ca="1">HYPERLINK("#"&amp;CELL("address", 'Volume I'!A65), "Option 3. Reduce Federal Medicaid Matching Rates")</f>
        <v>Option 3. Reduce Federal Medicaid Matching Rates</v>
      </c>
      <c r="B17" s="40" t="str">
        <f>HYPERLINK("https://www.cbo.gov/budget-options/58624", "Option 3")</f>
        <v>Option 3</v>
      </c>
    </row>
    <row r="18" spans="1:2" s="11" customFormat="1" x14ac:dyDescent="0.2">
      <c r="A18" s="6" t="str">
        <f ca="1">HYPERLINK("#"&amp;CELL("address", 'Volume I'!A86), "Option 4. Increase the Premiums Paid for Medicare Part B")</f>
        <v>Option 4. Increase the Premiums Paid for Medicare Part B</v>
      </c>
      <c r="B18" s="40" t="str">
        <f>HYPERLINK("https://www.cbo.gov/budget-options/58625", "Option 4")</f>
        <v>Option 4</v>
      </c>
    </row>
    <row r="19" spans="1:2" s="11" customFormat="1" x14ac:dyDescent="0.2">
      <c r="A19" s="6" t="str">
        <f ca="1">HYPERLINK("#"&amp;CELL("address", 'Volume I'!A100), "Option 5. Reduce Medicare Advantage Benchmarks")</f>
        <v>Option 5. Reduce Medicare Advantage Benchmarks</v>
      </c>
      <c r="B19" s="40" t="str">
        <f>HYPERLINK("https://www.cbo.gov/budget-options/58626", "Option 5")</f>
        <v>Option 5</v>
      </c>
    </row>
    <row r="20" spans="1:2" s="11" customFormat="1" x14ac:dyDescent="0.2">
      <c r="A20" s="6" t="str">
        <f ca="1">HYPERLINK("#"&amp;CELL("address", 'Volume I'!A111), "Option 6. Reduce Tax Subsidies for Employment-Based Health Insurance")</f>
        <v>Option 6. Reduce Tax Subsidies for Employment-Based Health Insurance</v>
      </c>
      <c r="B20" s="40" t="str">
        <f>HYPERLINK("https://www.cbo.gov/budget-options/58627", "Option 6")</f>
        <v>Option 6</v>
      </c>
    </row>
    <row r="21" spans="1:2" s="11" customFormat="1" x14ac:dyDescent="0.2">
      <c r="A21" s="6" t="str">
        <f ca="1">HYPERLINK("#"&amp;CELL("address", 'Volume I'!A135), "Option 7. Reduce Social Security Benefits for High Earners")</f>
        <v>Option 7. Reduce Social Security Benefits for High Earners</v>
      </c>
      <c r="B21" s="40" t="str">
        <f>HYPERLINK("https://www.cbo.gov/budget-options/58628", "Option 7")</f>
        <v>Option 7</v>
      </c>
    </row>
    <row r="22" spans="1:2" s="11" customFormat="1" x14ac:dyDescent="0.2">
      <c r="A22" s="6" t="str">
        <f ca="1">HYPERLINK("#"&amp;CELL("address", 'Volume I'!A151), "Option 8. Set Social Security Benefits to a Flat Amount")</f>
        <v>Option 8. Set Social Security Benefits to a Flat Amount</v>
      </c>
      <c r="B22" s="40" t="str">
        <f>HYPERLINK("https://www.cbo.gov/budget-options/58629", "Option 8")</f>
        <v>Option 8</v>
      </c>
    </row>
    <row r="23" spans="1:2" s="11" customFormat="1" x14ac:dyDescent="0.2">
      <c r="A23" s="6" t="str">
        <f ca="1">HYPERLINK("#"&amp;CELL("address", 'Volume I'!A165), "Option 9. Increase the Maximum Taxable Earnings That Are Subject to Social Security Payroll Taxes")</f>
        <v>Option 9. Increase the Maximum Taxable Earnings That Are Subject to Social Security Payroll Taxes</v>
      </c>
      <c r="B23" s="40" t="str">
        <f>HYPERLINK("https://www.cbo.gov/budget-options/58630", "Option 9")</f>
        <v>Option 9</v>
      </c>
    </row>
    <row r="24" spans="1:2" s="11" customFormat="1" x14ac:dyDescent="0.2">
      <c r="A24" s="6" t="str">
        <f ca="1">HYPERLINK("#"&amp;CELL("address", 'Volume I'!A181), "Option 10. Reduce Spending on Other Mandatory Programs")</f>
        <v>Option 10. Reduce Spending on Other Mandatory Programs</v>
      </c>
      <c r="B24" s="40" t="str">
        <f>HYPERLINK("https://www.cbo.gov/budget-options/58631", "Option 10")</f>
        <v>Option 10</v>
      </c>
    </row>
    <row r="25" spans="1:2" s="11" customFormat="1" x14ac:dyDescent="0.2">
      <c r="A25" s="6" t="str">
        <f ca="1">HYPERLINK("#"&amp;CELL("address", 'Volume I'!A195), "Option 11. Reduce the Department of Defense's Annual Budget")</f>
        <v>Option 11. Reduce the Department of Defense's Annual Budget</v>
      </c>
      <c r="B25" s="40" t="str">
        <f>HYPERLINK("https://www.cbo.gov/budget-options/58632", "Option 11")</f>
        <v>Option 11</v>
      </c>
    </row>
    <row r="26" spans="1:2" s="11" customFormat="1" x14ac:dyDescent="0.2">
      <c r="A26" s="6" t="str">
        <f ca="1">HYPERLINK("#"&amp;CELL("address", 'Volume I'!A209), "Option 12. Reduce Nondefense Discretionary Spending")</f>
        <v>Option 12. Reduce Nondefense Discretionary Spending</v>
      </c>
      <c r="B26" s="40" t="str">
        <f>HYPERLINK("https://www.cbo.gov/budget-options/58633", "Option 12")</f>
        <v>Option 12</v>
      </c>
    </row>
    <row r="27" spans="1:2" s="11" customFormat="1" x14ac:dyDescent="0.2">
      <c r="A27" s="6" t="str">
        <f ca="1">HYPERLINK("#"&amp;CELL("address", 'Volume I'!A223), "Option 13. Increase Individual Income Tax Rates")</f>
        <v>Option 13. Increase Individual Income Tax Rates</v>
      </c>
      <c r="B27" s="40" t="str">
        <f>HYPERLINK("https://www.cbo.gov/budget-options/58634", "Option 13")</f>
        <v>Option 13</v>
      </c>
    </row>
    <row r="28" spans="1:2" s="11" customFormat="1" x14ac:dyDescent="0.2">
      <c r="A28" s="6" t="str">
        <f ca="1">HYPERLINK("#"&amp;CELL("address", 'Volume I'!A241), "Option 14. Eliminate or Limit Itemized Deductions")</f>
        <v>Option 14. Eliminate or Limit Itemized Deductions</v>
      </c>
      <c r="B28" s="44" t="str">
        <f>HYPERLINK("https://www.cbo.gov/budget-options/58635", "Option 14")</f>
        <v>Option 14</v>
      </c>
    </row>
    <row r="29" spans="1:2" s="11" customFormat="1" x14ac:dyDescent="0.2">
      <c r="A29" s="6" t="str">
        <f ca="1">HYPERLINK("#"&amp;CELL("address", 'Volume I'!A257), "Option 15. Impose a New Payroll Tax")</f>
        <v>Option 15. Impose a New Payroll Tax</v>
      </c>
      <c r="B29" s="40" t="str">
        <f>HYPERLINK("https://www.cbo.gov/budget-options/58636", "Option 15")</f>
        <v>Option 15</v>
      </c>
    </row>
    <row r="30" spans="1:2" s="11" customFormat="1" x14ac:dyDescent="0.2">
      <c r="A30" s="6" t="str">
        <f ca="1">HYPERLINK("#"&amp;CELL("address", 'Volume I'!A271), "Option 16. Impose a Tax on Consumption")</f>
        <v>Option 16. Impose a Tax on Consumption</v>
      </c>
      <c r="B30" s="40" t="str">
        <f>HYPERLINK("https://www.cbo.gov/budget-options/58637", "Option 16")</f>
        <v>Option 16</v>
      </c>
    </row>
    <row r="31" spans="1:2" s="11" customFormat="1" x14ac:dyDescent="0.2">
      <c r="A31" s="15" t="str">
        <f ca="1">HYPERLINK("#"&amp;CELL("address", 'Volume I'!A287), "Option 17. Impose a Tax on Emissions of Greenhouse Gases")</f>
        <v>Option 17. Impose a Tax on Emissions of Greenhouse Gases</v>
      </c>
      <c r="B31" s="40" t="str">
        <f>HYPERLINK("https://www.cbo.gov/budget-options/58638", "Option 17")</f>
        <v>Option 17</v>
      </c>
    </row>
    <row r="32" spans="1:2" s="11" customFormat="1" x14ac:dyDescent="0.2"/>
    <row r="33" spans="1:2" x14ac:dyDescent="0.2">
      <c r="A33" s="5" t="s">
        <v>359</v>
      </c>
    </row>
    <row r="34" spans="1:2" x14ac:dyDescent="0.2">
      <c r="A34" s="16"/>
    </row>
    <row r="35" spans="1:2" x14ac:dyDescent="0.2">
      <c r="A35" s="6" t="str">
        <f ca="1">HYPERLINK("#"&amp;CELL("address", 'Volume II, Mandatory'!A6), "Option 1. Eliminate Title I Agriculture Programs")</f>
        <v>Option 1. Eliminate Title I Agriculture Programs</v>
      </c>
      <c r="B35" s="40" t="str">
        <f>HYPERLINK("https://www.cbo.gov/budget-options/58639", "Option 1")</f>
        <v>Option 1</v>
      </c>
    </row>
    <row r="36" spans="1:2" x14ac:dyDescent="0.2">
      <c r="A36" s="6" t="str">
        <f ca="1">HYPERLINK("#"&amp;CELL("address", 'Volume II, Mandatory'!A17), "Option 2. Reduce Subsidies in the Crop Insurance Program")</f>
        <v>Option 2. Reduce Subsidies in the Crop Insurance Program</v>
      </c>
      <c r="B36" s="40" t="str">
        <f>HYPERLINK("https://www.cbo.gov/budget-options/58640", "Option 2")</f>
        <v>Option 2</v>
      </c>
    </row>
    <row r="37" spans="1:2" x14ac:dyDescent="0.2">
      <c r="A37" s="6" t="str">
        <f ca="1">HYPERLINK("#"&amp;CELL("address", 'Volume II, Mandatory'!A31), "Option 3. Limit ARC and PLC Payment Acres to 30 Percent of Base Acres")</f>
        <v>Option 3. Limit ARC and PLC Payment Acres to 30 Percent of Base Acres</v>
      </c>
      <c r="B37" s="40" t="str">
        <f>HYPERLINK("https://www.cbo.gov/budget-options/58641", "Option 3")</f>
        <v>Option 3</v>
      </c>
    </row>
    <row r="38" spans="1:2" x14ac:dyDescent="0.2">
      <c r="A38" s="6" t="str">
        <f ca="1">HYPERLINK("#"&amp;CELL("address", 'Volume II, Mandatory'!A42), "Option 4. Raise Fannie Mae’s and Freddie Mac’s Guarantee Fees and Decrease Their Eligible Loan Limits")</f>
        <v>Option 4. Raise Fannie Mae’s and Freddie Mac’s Guarantee Fees and Decrease Their Eligible Loan Limits</v>
      </c>
      <c r="B38" s="40" t="str">
        <f>HYPERLINK("https://www.cbo.gov/budget-options/58642", "Option 4")</f>
        <v>Option 4</v>
      </c>
    </row>
    <row r="39" spans="1:2" x14ac:dyDescent="0.2">
      <c r="A39" s="6" t="str">
        <f ca="1">HYPERLINK("#"&amp;CELL("address", 'Volume II, Mandatory'!A59), "Option 5. Eliminate the Add-On to Pell Grants, Which Is Funded With Mandatory Spending")</f>
        <v>Option 5. Eliminate the Add-On to Pell Grants, Which Is Funded With Mandatory Spending</v>
      </c>
      <c r="B39" s="40" t="str">
        <f>HYPERLINK("https://www.cbo.gov/budget-options/58643", "Option 5")</f>
        <v>Option 5</v>
      </c>
    </row>
    <row r="40" spans="1:2" x14ac:dyDescent="0.2">
      <c r="A40" s="6" t="str">
        <f ca="1">HYPERLINK("#"&amp;CELL("address", 'Volume II, Mandatory'!A75), "Option 6. Adopt a Voucher Plan and Slow the Growth of Federal Contributions for Federal Employees' Health Benefits")</f>
        <v>Option 6. Adopt a Voucher Plan and Slow the Growth of Federal Contributions for Federal Employees' Health Benefits</v>
      </c>
      <c r="B40" s="40" t="str">
        <f>HYPERLINK("https://www.cbo.gov/budget-options/58644", "Option 6")</f>
        <v>Option 6</v>
      </c>
    </row>
    <row r="41" spans="1:2" x14ac:dyDescent="0.2">
      <c r="A41" s="6" t="str">
        <f ca="1">HYPERLINK("#"&amp;CELL("address", 'Volume II, Mandatory'!A105), "Option 7. Introduce Enrollment Fees in TRICARE for Life")</f>
        <v>Option 7. Introduce Enrollment Fees in TRICARE for Life</v>
      </c>
      <c r="B41" s="40" t="str">
        <f>HYPERLINK("https://www.cbo.gov/budget-options/58645", "Option 7")</f>
        <v>Option 7</v>
      </c>
    </row>
    <row r="42" spans="1:2" x14ac:dyDescent="0.2">
      <c r="A42" s="6" t="str">
        <f ca="1">HYPERLINK("#"&amp;CELL("address", 'Volume II, Mandatory'!A120), "Option 8. Introduce Minimum Out-of-Pocket Requirements in TRICARE for Life")</f>
        <v>Option 8. Introduce Minimum Out-of-Pocket Requirements in TRICARE for Life</v>
      </c>
      <c r="B42" s="40" t="str">
        <f>HYPERLINK("https://www.cbo.gov/budget-options/58646", "Option 8")</f>
        <v>Option 8</v>
      </c>
    </row>
    <row r="43" spans="1:2" x14ac:dyDescent="0.2">
      <c r="A43" s="6" t="str">
        <f ca="1">HYPERLINK("#"&amp;CELL("address", 'Volume II, Mandatory'!A135), "Option 9. Change the Cost-Sharing Rules for Medicare and Restrict Medigap Insurance")</f>
        <v>Option 9. Change the Cost-Sharing Rules for Medicare and Restrict Medigap Insurance</v>
      </c>
      <c r="B43" s="40" t="str">
        <f>HYPERLINK("https://www.cbo.gov/budget-options/58647", "Option 9")</f>
        <v>Option 9</v>
      </c>
    </row>
    <row r="44" spans="1:2" x14ac:dyDescent="0.2">
      <c r="A44" s="6" t="str">
        <f ca="1">HYPERLINK("#"&amp;CELL("address", 'Volume II, Mandatory'!A150), "Option 10. Reduce Medicare’s Coverage of Bad Debt")</f>
        <v>Option 10. Reduce Medicare’s Coverage of Bad Debt</v>
      </c>
      <c r="B44" s="40" t="str">
        <f>HYPERLINK("https://www.cbo.gov/budget-options/58648", "Option 10")</f>
        <v>Option 10</v>
      </c>
    </row>
    <row r="45" spans="1:2" x14ac:dyDescent="0.2">
      <c r="A45" s="6" t="str">
        <f ca="1">HYPERLINK("#"&amp;CELL("address", 'Volume II, Mandatory'!A164), "Option 11. Consolidate and Reduce Federal Payments for Graduate Medical Education at Teaching Hospitals")</f>
        <v>Option 11. Consolidate and Reduce Federal Payments for Graduate Medical Education at Teaching Hospitals</v>
      </c>
      <c r="B45" s="40" t="str">
        <f>HYPERLINK("https://www.cbo.gov/budget-options/58649", "Option 11")</f>
        <v>Option 11</v>
      </c>
    </row>
    <row r="46" spans="1:2" x14ac:dyDescent="0.2">
      <c r="A46" s="6" t="str">
        <f ca="1">HYPERLINK("#"&amp;CELL("address", 'Volume II, Mandatory'!A178), "Option 12. Eliminate Subsidies for Certain Meals in the National School Lunch, School Breakfast, and Child and Adult Care Food Programs")</f>
        <v>Option 12. Eliminate Subsidies for Certain Meals in the National School Lunch, School Breakfast, and Child and Adult Care Food Programs</v>
      </c>
      <c r="B46" s="40" t="str">
        <f>HYPERLINK("https://www.cbo.gov/budget-options/58650", "Option 12")</f>
        <v>Option 12</v>
      </c>
    </row>
    <row r="47" spans="1:2" x14ac:dyDescent="0.2">
      <c r="A47" s="6" t="str">
        <f ca="1">HYPERLINK("#"&amp;CELL("address", 'Volume II, Mandatory'!A189), "Option 13. Raise the Full Retirement Age for Social Security")</f>
        <v>Option 13. Raise the Full Retirement Age for Social Security</v>
      </c>
      <c r="B47" s="40" t="str">
        <f>HYPERLINK("https://www.cbo.gov/budget-options/58651", "Option 13")</f>
        <v>Option 13</v>
      </c>
    </row>
    <row r="48" spans="1:2" x14ac:dyDescent="0.2">
      <c r="A48" s="6" t="str">
        <f ca="1">HYPERLINK("#"&amp;CELL("address", 'Volume II, Mandatory'!A202), "Option 14. Require Social Security Disability Insurance Applicants to Have Worked More in Recent Years")</f>
        <v>Option 14. Require Social Security Disability Insurance Applicants to Have Worked More in Recent Years</v>
      </c>
      <c r="B48" s="40" t="str">
        <f>HYPERLINK("https://www.cbo.gov/budget-options/58652", "Option 14")</f>
        <v>Option 14</v>
      </c>
    </row>
    <row r="49" spans="1:2" x14ac:dyDescent="0.2">
      <c r="A49" s="6" t="str">
        <f ca="1">HYPERLINK("#"&amp;CELL("address", 'Volume II, Mandatory'!A216), "Option 15. End VA’s Individual Unemployability Payments to Disabled Veterans at the Full Retirement Age for Social Security")</f>
        <v>Option 15. End VA’s Individual Unemployability Payments to Disabled Veterans at the Full Retirement Age for Social Security</v>
      </c>
      <c r="B49" s="40" t="str">
        <f>HYPERLINK("https://www.cbo.gov/budget-options/58653", "Option 15")</f>
        <v>Option 15</v>
      </c>
    </row>
    <row r="50" spans="1:2" x14ac:dyDescent="0.2">
      <c r="A50" s="6" t="str">
        <f ca="1">HYPERLINK("#"&amp;CELL("address", 'Volume II, Mandatory'!A230), "Option 16. Reduce VA’s Disability Benefits for Veterans Who Are Older Than the Full Retirement Age for Social Security")</f>
        <v>Option 16. Reduce VA’s Disability Benefits for Veterans Who Are Older Than the Full Retirement Age for Social Security</v>
      </c>
      <c r="B50" s="40" t="str">
        <f>HYPERLINK("https://www.cbo.gov/budget-options/58654", "Option 16")</f>
        <v>Option 16</v>
      </c>
    </row>
    <row r="51" spans="1:2" x14ac:dyDescent="0.2">
      <c r="A51" s="6" t="str">
        <f ca="1">HYPERLINK("#"&amp;CELL("address", 'Volume II, Mandatory'!A241), "Option 17. Narrow Eligibility for VA’s Disability Compensation by Excluding Veterans With Low Disability Ratings")</f>
        <v>Option 17. Narrow Eligibility for VA’s Disability Compensation by Excluding Veterans With Low Disability Ratings</v>
      </c>
      <c r="B51" s="40" t="str">
        <f>HYPERLINK("https://www.cbo.gov/budget-options/58655", "Option 17")</f>
        <v>Option 17</v>
      </c>
    </row>
    <row r="52" spans="1:2" x14ac:dyDescent="0.2">
      <c r="A52" s="6" t="str">
        <f ca="1">HYPERLINK("#"&amp;CELL("address", 'Volume II, Mandatory'!A254), "Option 18. Use an Alternative Measure of Inflation to Index Social Security and Other Mandatory Programs")</f>
        <v>Option 18. Use an Alternative Measure of Inflation to Index Social Security and Other Mandatory Programs</v>
      </c>
      <c r="B52" s="40" t="str">
        <f>HYPERLINK("https://www.cbo.gov/budget-options/58656", "Option 18")</f>
        <v>Option 18</v>
      </c>
    </row>
    <row r="53" spans="1:2" x14ac:dyDescent="0.2">
      <c r="A53" s="6"/>
      <c r="B53" s="7"/>
    </row>
    <row r="54" spans="1:2" x14ac:dyDescent="0.2">
      <c r="A54" s="8" t="s">
        <v>360</v>
      </c>
      <c r="B54" s="7"/>
    </row>
    <row r="55" spans="1:2" x14ac:dyDescent="0.2">
      <c r="A55" s="8"/>
      <c r="B55" s="7"/>
    </row>
    <row r="56" spans="1:2" x14ac:dyDescent="0.2">
      <c r="A56" s="6" t="str">
        <f ca="1">HYPERLINK("#"&amp;CELL("address", 'Volume II, Discretionary'!A6), "Option 19. Cap Increases in Basic Pay for Military Service Members")</f>
        <v>Option 19. Cap Increases in Basic Pay for Military Service Members</v>
      </c>
      <c r="B56" s="40" t="str">
        <f>HYPERLINK("https://www.cbo.gov/budget-options/58657", "Option 19")</f>
        <v>Option 19</v>
      </c>
    </row>
    <row r="57" spans="1:2" x14ac:dyDescent="0.2">
      <c r="A57" s="6" t="str">
        <f ca="1">HYPERLINK("#"&amp;CELL("address", 'Volume II, Discretionary'!A23), "Option 20. Replace Some Military Personnel With Civilian Employees")</f>
        <v>Option 20. Replace Some Military Personnel With Civilian Employees</v>
      </c>
      <c r="B57" s="40" t="str">
        <f>HYPERLINK("https://www.cbo.gov/budget-options/58658", "Option 20")</f>
        <v>Option 20</v>
      </c>
    </row>
    <row r="58" spans="1:2" x14ac:dyDescent="0.2">
      <c r="A58" s="6" t="str">
        <f ca="1">HYPERLINK("#"&amp;CELL("address", 'Volume II, Discretionary'!A43), "Option 21. Stop Building Ford Class Aircraft Carriers")</f>
        <v>Option 21. Stop Building Ford Class Aircraft Carriers</v>
      </c>
      <c r="B58" s="40" t="str">
        <f>HYPERLINK("https://www.cbo.gov/budget-options/58659", "Option 21")</f>
        <v>Option 21</v>
      </c>
    </row>
    <row r="59" spans="1:2" x14ac:dyDescent="0.2">
      <c r="A59" s="6" t="str">
        <f ca="1">HYPERLINK("#"&amp;CELL("address", 'Volume II, Discretionary'!A58), "Option 22. Reduce the Size of the Nuclear Triad")</f>
        <v>Option 22. Reduce the Size of the Nuclear Triad</v>
      </c>
      <c r="B59" s="40" t="str">
        <f>HYPERLINK("https://www.cbo.gov/budget-options/58660", "Option 22")</f>
        <v>Option 22</v>
      </c>
    </row>
    <row r="60" spans="1:2" x14ac:dyDescent="0.2">
      <c r="A60" s="6" t="str">
        <f ca="1">HYPERLINK("#"&amp;CELL("address", 'Volume II, Discretionary'!A79), "Option 23. Cancel the Long-Range Standoff Weapon")</f>
        <v>Option 23. Cancel the Long-Range Standoff Weapon</v>
      </c>
      <c r="B60" s="40" t="str">
        <f>HYPERLINK("https://www.cbo.gov/budget-options/58661", "Option 23")</f>
        <v>Option 23</v>
      </c>
    </row>
    <row r="61" spans="1:2" x14ac:dyDescent="0.2">
      <c r="A61" s="6" t="str">
        <f ca="1">HYPERLINK("#"&amp;CELL("address", 'Volume II, Discretionary'!A94), "Option 24. Cancel the Army's Future Vertical Lift Aircraft")</f>
        <v>Option 24. Cancel the Army's Future Vertical Lift Aircraft</v>
      </c>
      <c r="B61" s="40" t="str">
        <f>HYPERLINK("https://www.cbo.gov/budget-options/58662", "Option 24")</f>
        <v>Option 24</v>
      </c>
    </row>
    <row r="62" spans="1:2" x14ac:dyDescent="0.2">
      <c r="A62" s="6" t="str">
        <f ca="1">HYPERLINK("#"&amp;CELL("address", 'Volume II, Discretionary'!A108), "Option 25. Defer Development of the B-21 Bomber")</f>
        <v>Option 25. Defer Development of the B-21 Bomber</v>
      </c>
      <c r="B62" s="40" t="str">
        <f>HYPERLINK("https://www.cbo.gov/budget-options/58663", "Option 25")</f>
        <v>Option 25</v>
      </c>
    </row>
    <row r="63" spans="1:2" x14ac:dyDescent="0.2">
      <c r="A63" s="6" t="str">
        <f ca="1">HYPERLINK("#"&amp;CELL("address", 'Volume II, Discretionary'!A122), "Option 26. Reduce the Size of the Bomber Force by Retiring the B-1B")</f>
        <v>Option 26. Reduce the Size of the Bomber Force by Retiring the B-1B</v>
      </c>
      <c r="B63" s="40" t="str">
        <f>HYPERLINK("https://www.cbo.gov/budget-options/58664", "Option 26")</f>
        <v>Option 26</v>
      </c>
    </row>
    <row r="64" spans="1:2" x14ac:dyDescent="0.2">
      <c r="A64" s="6" t="str">
        <f ca="1">HYPERLINK("#"&amp;CELL("address", 'Volume II, Discretionary'!A136), "Option 27. Reduce the Size of the Fighter Force by Retiring the F-22")</f>
        <v>Option 27. Reduce the Size of the Fighter Force by Retiring the F-22</v>
      </c>
      <c r="B64" s="40" t="str">
        <f>HYPERLINK("https://www.cbo.gov/budget-options/58665", "Option 27")</f>
        <v>Option 27</v>
      </c>
    </row>
    <row r="65" spans="1:2" x14ac:dyDescent="0.2">
      <c r="A65" s="6" t="str">
        <f ca="1">HYPERLINK("#"&amp;CELL("address", 'Volume II, Discretionary'!A150), "Option 28. Reduce the Basic Allowance for Housing to 80 Percent of Average Housing Costs")</f>
        <v>Option 28. Reduce the Basic Allowance for Housing to 80 Percent of Average Housing Costs</v>
      </c>
      <c r="B65" s="40" t="str">
        <f>HYPERLINK("https://www.cbo.gov/budget-options/58666", "Option 28")</f>
        <v>Option 28</v>
      </c>
    </row>
    <row r="66" spans="1:2" x14ac:dyDescent="0.2">
      <c r="A66" s="6" t="str">
        <f ca="1">HYPERLINK("#"&amp;CELL("address", 'Volume II, Discretionary'!A165), "Option 29. Reduce Funding for International Affairs Programs")</f>
        <v>Option 29. Reduce Funding for International Affairs Programs</v>
      </c>
      <c r="B66" s="40" t="str">
        <f>HYPERLINK("https://www.cbo.gov/budget-options/58667", "Option 29")</f>
        <v>Option 29</v>
      </c>
    </row>
    <row r="67" spans="1:2" x14ac:dyDescent="0.2">
      <c r="A67" s="6" t="str">
        <f ca="1">HYPERLINK("#"&amp;CELL("address", 'Volume II, Discretionary'!A178), "Option 30. Eliminate Federal Funding for National Community Service")</f>
        <v>Option 30. Eliminate Federal Funding for National Community Service</v>
      </c>
      <c r="B67" s="40" t="str">
        <f>HYPERLINK("https://www.cbo.gov/budget-options/58668", "Option 30")</f>
        <v>Option 30</v>
      </c>
    </row>
    <row r="68" spans="1:2" x14ac:dyDescent="0.2">
      <c r="A68" s="6" t="str">
        <f ca="1">HYPERLINK("#"&amp;CELL("address", 'Volume II, Discretionary'!A191), "Option 31. Tighten Eligibility for Pell Grants")</f>
        <v>Option 31. Tighten Eligibility for Pell Grants</v>
      </c>
      <c r="B68" s="40" t="str">
        <f>HYPERLINK("https://www.cbo.gov/budget-options/58669", "Option 31")</f>
        <v>Option 31</v>
      </c>
    </row>
    <row r="69" spans="1:2" x14ac:dyDescent="0.2">
      <c r="A69" s="6" t="str">
        <f ca="1">HYPERLINK("#"&amp;CELL("address", 'Volume II, Discretionary'!A212), "Option 32. Increase Prescription Drug Copayments for All Veterans")</f>
        <v>Option 32. Increase Prescription Drug Copayments for All Veterans</v>
      </c>
      <c r="B69" s="40" t="str">
        <f>HYPERLINK("https://www.cbo.gov/budget-options/58670", "Option 32")</f>
        <v>Option 32</v>
      </c>
    </row>
    <row r="70" spans="1:2" x14ac:dyDescent="0.2">
      <c r="A70" s="6" t="str">
        <f ca="1">HYPERLINK("#"&amp;CELL("address", 'Volume II, Discretionary'!A225), "Option 33. End Enrollment in VA Medical Care for Veterans in Priority Groups 7 and 8")</f>
        <v>Option 33. End Enrollment in VA Medical Care for Veterans in Priority Groups 7 and 8</v>
      </c>
      <c r="B70" s="40" t="str">
        <f>HYPERLINK("https://www.cbo.gov/budget-options/58671", "Option 33")</f>
        <v>Option 33</v>
      </c>
    </row>
    <row r="71" spans="1:2" x14ac:dyDescent="0.2">
      <c r="A71" s="6" t="str">
        <f ca="1">HYPERLINK("#"&amp;CELL("address", 'Volume II, Discretionary'!A241), "Option 34. Reduce the Annual Across-the-Board Adjustment for Federal Civilian Employees’ Pay")</f>
        <v>Option 34. Reduce the Annual Across-the-Board Adjustment for Federal Civilian Employees’ Pay</v>
      </c>
      <c r="B71" s="40" t="str">
        <f>HYPERLINK("https://www.cbo.gov/budget-options/58672", "Option 34")</f>
        <v>Option 34</v>
      </c>
    </row>
    <row r="72" spans="1:2" x14ac:dyDescent="0.2">
      <c r="A72" s="6" t="str">
        <f ca="1">HYPERLINK("#"&amp;CELL("address", 'Volume II, Discretionary'!A258), "Option 35. Reduce Funding for Certain Grants to State and Local Governments")</f>
        <v>Option 35. Reduce Funding for Certain Grants to State and Local Governments</v>
      </c>
      <c r="B72" s="40" t="str">
        <f>HYPERLINK("https://www.cbo.gov/budget-options/58673", "Option 35")</f>
        <v>Option 35</v>
      </c>
    </row>
    <row r="73" spans="1:2" x14ac:dyDescent="0.2">
      <c r="A73" s="6" t="str">
        <f ca="1">HYPERLINK("#"&amp;CELL("address", 'Volume II, Discretionary'!A295), "Option 36. Repeal the Davis-Bacon Act")</f>
        <v>Option 36. Repeal the Davis-Bacon Act</v>
      </c>
      <c r="B73" s="40" t="str">
        <f>HYPERLINK("https://www.cbo.gov/budget-options/58674", "Option 36")</f>
        <v>Option 36</v>
      </c>
    </row>
    <row r="74" spans="1:2" x14ac:dyDescent="0.2">
      <c r="A74" s="9"/>
      <c r="B74" s="7"/>
    </row>
    <row r="75" spans="1:2" x14ac:dyDescent="0.2">
      <c r="A75" s="5" t="s">
        <v>361</v>
      </c>
    </row>
    <row r="76" spans="1:2" x14ac:dyDescent="0.2">
      <c r="A76" s="16"/>
      <c r="B76" s="11"/>
    </row>
    <row r="77" spans="1:2" x14ac:dyDescent="0.2">
      <c r="A77" s="6" t="str">
        <f ca="1">HYPERLINK("#"&amp;CELL("address", 'Volume II, Revenues'!A6), "Option 37. Raise the Tax Rates on Long-Term Capital Gains and Qualified Dividends by 2 Percentage Points")</f>
        <v>Option 37. Raise the Tax Rates on Long-Term Capital Gains and Qualified Dividends by 2 Percentage Points</v>
      </c>
      <c r="B77" s="40" t="str">
        <f>HYPERLINK("https://www.cbo.gov/budget-options/58688", "Option 37")</f>
        <v>Option 37</v>
      </c>
    </row>
    <row r="78" spans="1:2" x14ac:dyDescent="0.2">
      <c r="A78" s="6" t="str">
        <f ca="1">HYPERLINK("#"&amp;CELL("address", 'Volume II, Revenues'!A18), "Option 38. Eliminate or Modify Head-of-Household Filing Status")</f>
        <v>Option 38. Eliminate or Modify Head-of-Household Filing Status</v>
      </c>
      <c r="B78" s="40" t="str">
        <f>HYPERLINK("https://www.cbo.gov/budget-options/58689", "Option 38")</f>
        <v>Option 38</v>
      </c>
    </row>
    <row r="79" spans="1:2" x14ac:dyDescent="0.2">
      <c r="A79" s="6" t="str">
        <f ca="1">HYPERLINK("#"&amp;CELL("address", 'Volume II, Revenues'!A32), "Option 39. Limit the Deduction for Charitable Giving")</f>
        <v>Option 39. Limit the Deduction for Charitable Giving</v>
      </c>
      <c r="B79" s="40" t="str">
        <f>HYPERLINK("https://www.cbo.gov/budget-options/58690", "Option 39")</f>
        <v>Option 39</v>
      </c>
    </row>
    <row r="80" spans="1:2" x14ac:dyDescent="0.2">
      <c r="A80" s="6" t="str">
        <f ca="1">HYPERLINK("#"&amp;CELL("address", 'Volume II, Revenues'!A46), "Option 40. Change the Tax Treatment of Capital Gains From Sales of Inherited Assets")</f>
        <v>Option 40. Change the Tax Treatment of Capital Gains From Sales of Inherited Assets</v>
      </c>
      <c r="B80" s="40" t="str">
        <f>HYPERLINK("https://www.cbo.gov/budget-options/58691", "Option 40")</f>
        <v>Option 40</v>
      </c>
    </row>
    <row r="81" spans="1:2" x14ac:dyDescent="0.2">
      <c r="A81" s="6" t="str">
        <f ca="1">HYPERLINK("#"&amp;CELL("address", 'Volume II, Revenues'!A58), "Option 41. Eliminate the Tax Exemption for New Qualified Private Activity Bonds")</f>
        <v>Option 41. Eliminate the Tax Exemption for New Qualified Private Activity Bonds</v>
      </c>
      <c r="B81" s="40" t="str">
        <f>HYPERLINK("https://www.cbo.gov/budget-options/58692", "Option 41")</f>
        <v>Option 41</v>
      </c>
    </row>
    <row r="82" spans="1:2" x14ac:dyDescent="0.2">
      <c r="A82" s="6" t="str">
        <f ca="1">HYPERLINK("#"&amp;CELL("address", 'Volume II, Revenues'!A71), "Option 42. Expand the Base of the Net Investment Income Tax to Include the Income of Active Participants in S Corporations and Limited Partnerships")</f>
        <v>Option 42. Expand the Base of the Net Investment Income Tax to Include the Income of Active Participants in S Corporations and Limited Partnerships</v>
      </c>
      <c r="B82" s="40" t="str">
        <f>HYPERLINK("https://www.cbo.gov/budget-options/58693", "Option 42")</f>
        <v>Option 42</v>
      </c>
    </row>
    <row r="83" spans="1:2" x14ac:dyDescent="0.2">
      <c r="A83" s="6" t="str">
        <f ca="1">HYPERLINK("#"&amp;CELL("address", 'Volume II, Revenues'!A83), "Option 43. Tax Carried Interest as Ordinary Income")</f>
        <v>Option 43. Tax Carried Interest as Ordinary Income</v>
      </c>
      <c r="B83" s="40" t="str">
        <f>HYPERLINK("https://www.cbo.gov/budget-options/58694", "Option 43")</f>
        <v>Option 43</v>
      </c>
    </row>
    <row r="84" spans="1:2" x14ac:dyDescent="0.2">
      <c r="A84" s="6" t="str">
        <f ca="1">HYPERLINK("#"&amp;CELL("address", 'Volume II, Revenues'!A95), "Option 44. Include VA's Disability Payments in Taxable Income")</f>
        <v>Option 44. Include VA's Disability Payments in Taxable Income</v>
      </c>
      <c r="B84" s="40" t="str">
        <f>HYPERLINK("https://www.cbo.gov/budget-options/58695", "Option 44")</f>
        <v>Option 44</v>
      </c>
    </row>
    <row r="85" spans="1:2" x14ac:dyDescent="0.2">
      <c r="A85" s="6" t="str">
        <f ca="1">HYPERLINK("#"&amp;CELL("address", 'Volume II, Revenues'!A107), "Option 45. Further Limit Annual Contributions to Retirement Plans")</f>
        <v>Option 45. Further Limit Annual Contributions to Retirement Plans</v>
      </c>
      <c r="B85" s="40" t="str">
        <f>HYPERLINK("https://www.cbo.gov/budget-options/58696", "Option 45")</f>
        <v>Option 45</v>
      </c>
    </row>
    <row r="86" spans="1:2" x14ac:dyDescent="0.2">
      <c r="A86" s="6" t="str">
        <f ca="1">HYPERLINK("#"&amp;CELL("address", 'Volume II, Revenues'!A121), "Option 46. Eliminate Certain Tax Preferences for Education Expenses")</f>
        <v>Option 46. Eliminate Certain Tax Preferences for Education Expenses</v>
      </c>
      <c r="B86" s="40" t="str">
        <f>HYPERLINK("https://www.cbo.gov/budget-options/58697", "Option 46")</f>
        <v>Option 46</v>
      </c>
    </row>
    <row r="87" spans="1:2" x14ac:dyDescent="0.2">
      <c r="A87" s="6" t="str">
        <f ca="1">HYPERLINK("#"&amp;CELL("address", 'Volume II, Revenues'!A134), "Option 47. Lower the Investment Income Limit for the Earned Income Tax Credit and Extend That Limit to the Refundable Portion of the Child Tax Credit")</f>
        <v>Option 47. Lower the Investment Income Limit for the Earned Income Tax Credit and Extend That Limit to the Refundable Portion of the Child Tax Credit</v>
      </c>
      <c r="B87" s="40" t="str">
        <f>HYPERLINK("https://www.cbo.gov/budget-options/58698", "Option 47")</f>
        <v>Option 47</v>
      </c>
    </row>
    <row r="88" spans="1:2" x14ac:dyDescent="0.2">
      <c r="A88" s="6" t="str">
        <f ca="1">HYPERLINK("#"&amp;CELL("address", 'Volume II, Revenues'!A147), "Option 48. Require People Who Claim the Earned Income Tax Credit and Child Tax Credit to Have a Social Security Number That Is Valid for Employment")</f>
        <v>Option 48. Require People Who Claim the Earned Income Tax Credit and Child Tax Credit to Have a Social Security Number That Is Valid for Employment</v>
      </c>
      <c r="B88" s="40" t="str">
        <f>HYPERLINK("https://www.cbo.gov/budget-options/58699", "Option 48")</f>
        <v>Option 48</v>
      </c>
    </row>
    <row r="89" spans="1:2" x14ac:dyDescent="0.2">
      <c r="A89" s="6" t="str">
        <f ca="1">HYPERLINK("#"&amp;CELL("address", 'Volume II, Revenues'!A159), "Option 49. Expand Social Security to Include Newly Hired State and Local Government Employees")</f>
        <v>Option 49. Expand Social Security to Include Newly Hired State and Local Government Employees</v>
      </c>
      <c r="B89" s="40" t="str">
        <f>HYPERLINK("https://www.cbo.gov/budget-options/58700", "Option 49")</f>
        <v>Option 49</v>
      </c>
    </row>
    <row r="90" spans="1:2" x14ac:dyDescent="0.2">
      <c r="A90" s="6" t="str">
        <f ca="1">HYPERLINK("#"&amp;CELL("address", 'Volume II, Revenues'!A174), "Option 50. Increase the Corporate Income Tax Rate by 1 Percentage Point")</f>
        <v>Option 50. Increase the Corporate Income Tax Rate by 1 Percentage Point</v>
      </c>
      <c r="B90" s="40" t="str">
        <f>HYPERLINK("https://www.cbo.gov/budget-options/58701", "Option 50")</f>
        <v>Option 50</v>
      </c>
    </row>
    <row r="91" spans="1:2" x14ac:dyDescent="0.2">
      <c r="A91" s="6" t="str">
        <f ca="1">HYPERLINK("#"&amp;CELL("address", 'Volume II, Revenues'!A186), "Option 51. Repeal the “Last In, First Out” Approach to Inventory Identification and the “Lower of Cost or Market” and “Subnormal Goods” Methods of Inventory Valuation")</f>
        <v>Option 51. Repeal the “Last In, First Out” Approach to Inventory Identification and the “Lower of Cost or Market” and “Subnormal Goods” Methods of Inventory Valuation</v>
      </c>
      <c r="B91" s="40" t="str">
        <f>HYPERLINK("https://www.cbo.gov/budget-options/58702", "Option 51")</f>
        <v>Option 51</v>
      </c>
    </row>
    <row r="92" spans="1:2" x14ac:dyDescent="0.2">
      <c r="A92" s="6" t="str">
        <f ca="1">HYPERLINK("#"&amp;CELL("address", 'Volume II, Revenues'!A199), "Option 52. Require Half of Advertising Expenses to Be Amortized Over 5 or 10 Years")</f>
        <v>Option 52. Require Half of Advertising Expenses to Be Amortized Over 5 or 10 Years</v>
      </c>
      <c r="B92" s="40" t="str">
        <f>HYPERLINK("https://www.cbo.gov/budget-options/58703", "Option 52")</f>
        <v>Option 52</v>
      </c>
    </row>
    <row r="93" spans="1:2" x14ac:dyDescent="0.2">
      <c r="A93" s="6" t="str">
        <f ca="1">HYPERLINK("#"&amp;CELL("address", 'Volume II, Revenues'!A213), "Option 53. Repeal the Low-Income Housing Tax Credit")</f>
        <v>Option 53. Repeal the Low-Income Housing Tax Credit</v>
      </c>
      <c r="B93" s="40" t="str">
        <f>HYPERLINK("https://www.cbo.gov/budget-options/58704", "Option 53")</f>
        <v>Option 53</v>
      </c>
    </row>
    <row r="94" spans="1:2" x14ac:dyDescent="0.2">
      <c r="A94" s="6" t="str">
        <f ca="1">HYPERLINK("#"&amp;CELL("address", 'Volume II, Revenues'!A225), "Option 54. Increase All Taxes on Alcoholic Beverages to $16 per Proof Gallon and Index Them for Inflation")</f>
        <v>Option 54. Increase All Taxes on Alcoholic Beverages to $16 per Proof Gallon and Index Them for Inflation</v>
      </c>
      <c r="B94" s="40" t="str">
        <f>HYPERLINK("https://www.cbo.gov/budget-options/58705", "Option 54")</f>
        <v>Option 54</v>
      </c>
    </row>
    <row r="95" spans="1:2" x14ac:dyDescent="0.2">
      <c r="A95" s="6" t="str">
        <f ca="1">HYPERLINK("#"&amp;CELL("address", 'Volume II, Revenues'!A240), "Option 55. Increase Excise Taxes on Tobacco Products")</f>
        <v>Option 55. Increase Excise Taxes on Tobacco Products</v>
      </c>
      <c r="B95" s="40" t="str">
        <f>HYPERLINK("https://www.cbo.gov/budget-options/58706", "Option 55")</f>
        <v>Option 55</v>
      </c>
    </row>
    <row r="96" spans="1:2" x14ac:dyDescent="0.2">
      <c r="A96" s="6" t="str">
        <f ca="1">HYPERLINK("#"&amp;CELL("address", 'Volume II, Revenues'!A256), "Option 56. Increase Excise Taxes on Motor Fuels and Index Them for Inflation")</f>
        <v>Option 56. Increase Excise Taxes on Motor Fuels and Index Them for Inflation</v>
      </c>
      <c r="B96" s="40" t="str">
        <f>HYPERLINK("https://www.cbo.gov/budget-options/58707", "Option 56")</f>
        <v>Option 56</v>
      </c>
    </row>
    <row r="97" spans="1:2" x14ac:dyDescent="0.2">
      <c r="A97" s="6" t="str">
        <f ca="1">HYPERLINK("#"&amp;CELL("address", 'Volume II, Revenues'!A269), "Option 57. Impose a Tax on Financial Transactions")</f>
        <v>Option 57. Impose a Tax on Financial Transactions</v>
      </c>
      <c r="B97" s="40" t="str">
        <f>HYPERLINK("https://www.cbo.gov/budget-options/58708", "Option 57")</f>
        <v>Option 57</v>
      </c>
    </row>
    <row r="98" spans="1:2" x14ac:dyDescent="0.2">
      <c r="A98" s="6" t="str">
        <f ca="1">HYPERLINK("#"&amp;CELL("address", 'Volume II, Revenues'!A282), "Option 58. Increase Certain Fees Charged by U.S. Citizenship and Immigration Services and Customs and Border Protection by 20 Percent")</f>
        <v>Option 58. Increase Certain Fees Charged by U.S. Citizenship and Immigration Services and Customs and Border Protection by 20 Percent</v>
      </c>
      <c r="B98" s="40" t="str">
        <f>HYPERLINK("https://www.cbo.gov/budget-options/58709", "Option 58")</f>
        <v>Option 58</v>
      </c>
    </row>
    <row r="99" spans="1:2" x14ac:dyDescent="0.2">
      <c r="A99" s="6" t="str">
        <f ca="1">HYPERLINK("#"&amp;CELL("address", 'Volume II, Revenues'!A300), "Option 59. Increase Federal Civilian Employees’ Contributions to the Federal Employees Retirement System")</f>
        <v>Option 59. Increase Federal Civilian Employees’ Contributions to the Federal Employees Retirement System</v>
      </c>
      <c r="B99" s="40" t="str">
        <f>HYPERLINK("https://www.cbo.gov/budget-options/58710", "Option 59")</f>
        <v>Option 59</v>
      </c>
    </row>
    <row r="101" spans="1:2" x14ac:dyDescent="0.2">
      <c r="A101" s="5"/>
    </row>
    <row r="102" spans="1:2" s="11" customFormat="1" x14ac:dyDescent="0.2">
      <c r="A102" s="16"/>
    </row>
    <row r="103" spans="1:2" x14ac:dyDescent="0.2">
      <c r="A103" s="6"/>
      <c r="B103" s="33"/>
    </row>
    <row r="104" spans="1:2" x14ac:dyDescent="0.2">
      <c r="A104" s="6"/>
      <c r="B104" s="33"/>
    </row>
    <row r="105" spans="1:2" x14ac:dyDescent="0.2">
      <c r="A105" s="6"/>
      <c r="B105" s="33"/>
    </row>
    <row r="106" spans="1:2" x14ac:dyDescent="0.2">
      <c r="A106" s="6"/>
      <c r="B106" s="33"/>
    </row>
    <row r="107" spans="1:2" x14ac:dyDescent="0.2">
      <c r="A107" s="6"/>
      <c r="B107" s="33"/>
    </row>
    <row r="108" spans="1:2" x14ac:dyDescent="0.2">
      <c r="A108" s="6"/>
      <c r="B108" s="33"/>
    </row>
    <row r="109" spans="1:2" x14ac:dyDescent="0.2">
      <c r="A109" s="6"/>
      <c r="B109" s="33"/>
    </row>
    <row r="110" spans="1:2" x14ac:dyDescent="0.2">
      <c r="A110" s="6"/>
      <c r="B110" s="33"/>
    </row>
    <row r="111" spans="1:2" x14ac:dyDescent="0.2">
      <c r="A111" s="6"/>
      <c r="B111" s="33"/>
    </row>
    <row r="112" spans="1:2" x14ac:dyDescent="0.2">
      <c r="A112" s="6"/>
      <c r="B112" s="33"/>
    </row>
    <row r="113" spans="1:2" x14ac:dyDescent="0.2">
      <c r="A113" s="6"/>
      <c r="B113" s="33"/>
    </row>
    <row r="114" spans="1:2" x14ac:dyDescent="0.2">
      <c r="A114" s="6"/>
      <c r="B114" s="33"/>
    </row>
    <row r="115" spans="1:2" x14ac:dyDescent="0.2">
      <c r="A115" s="6"/>
      <c r="B115" s="33"/>
    </row>
    <row r="116" spans="1:2" x14ac:dyDescent="0.2">
      <c r="A116" s="6"/>
      <c r="B116" s="33"/>
    </row>
    <row r="117" spans="1:2" x14ac:dyDescent="0.2">
      <c r="A117" s="6"/>
      <c r="B117" s="33"/>
    </row>
    <row r="118" spans="1:2" x14ac:dyDescent="0.2">
      <c r="A118" s="6"/>
      <c r="B118" s="33"/>
    </row>
    <row r="119" spans="1:2" x14ac:dyDescent="0.2">
      <c r="A119" s="15"/>
      <c r="B119" s="33"/>
    </row>
  </sheetData>
  <mergeCells count="2">
    <mergeCell ref="A8:A9"/>
    <mergeCell ref="B8:B9"/>
  </mergeCells>
  <hyperlinks>
    <hyperlink ref="A5" r:id="rId1" xr:uid="{D101CBAE-855C-493E-A3C2-274F611CDDDE}"/>
    <hyperlink ref="A3" r:id="rId2" xr:uid="{3EB36F3D-5998-4CBF-B182-AD3500421D7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70799-651F-446B-BDBB-60E05CEED406}">
  <dimension ref="A1:Q53"/>
  <sheetViews>
    <sheetView topLeftCell="A26" workbookViewId="0">
      <selection activeCell="A5" sqref="A5:Q5"/>
    </sheetView>
  </sheetViews>
  <sheetFormatPr baseColWidth="10" defaultColWidth="9.1640625" defaultRowHeight="14" x14ac:dyDescent="0.15"/>
  <cols>
    <col min="1" max="16384" width="9.1640625" style="32"/>
  </cols>
  <sheetData>
    <row r="1" spans="1:17" x14ac:dyDescent="0.15">
      <c r="A1" s="51" t="s">
        <v>364</v>
      </c>
      <c r="B1" s="51"/>
      <c r="C1" s="51"/>
      <c r="D1" s="51"/>
      <c r="E1" s="51"/>
      <c r="F1" s="51"/>
      <c r="G1" s="51"/>
      <c r="H1" s="51"/>
      <c r="I1" s="51"/>
      <c r="J1" s="51"/>
      <c r="K1" s="51"/>
      <c r="L1" s="51"/>
      <c r="M1" s="51"/>
      <c r="N1" s="51"/>
      <c r="O1" s="51"/>
      <c r="P1" s="51"/>
      <c r="Q1" s="51"/>
    </row>
    <row r="2" spans="1:17" ht="15" customHeight="1" x14ac:dyDescent="0.15">
      <c r="A2" s="52" t="s">
        <v>379</v>
      </c>
      <c r="B2" s="52"/>
      <c r="C2" s="52"/>
      <c r="D2" s="52"/>
      <c r="E2" s="52"/>
      <c r="F2" s="52"/>
      <c r="G2" s="52"/>
      <c r="H2" s="52"/>
      <c r="I2" s="52"/>
      <c r="J2" s="52"/>
      <c r="K2" s="52"/>
      <c r="L2" s="52"/>
      <c r="M2" s="52"/>
      <c r="N2" s="52"/>
      <c r="O2" s="52"/>
      <c r="P2" s="52"/>
      <c r="Q2" s="52"/>
    </row>
    <row r="3" spans="1:17" ht="15" customHeight="1" x14ac:dyDescent="0.15">
      <c r="A3" s="49" t="s">
        <v>362</v>
      </c>
      <c r="B3" s="49"/>
      <c r="C3" s="49"/>
      <c r="D3" s="49"/>
      <c r="E3" s="49"/>
      <c r="F3" s="49"/>
      <c r="G3" s="49"/>
      <c r="H3" s="49"/>
      <c r="I3" s="49"/>
      <c r="J3" s="49"/>
      <c r="K3" s="49"/>
      <c r="L3" s="49"/>
      <c r="M3" s="49"/>
      <c r="N3" s="49"/>
      <c r="O3" s="49"/>
      <c r="P3" s="49"/>
      <c r="Q3" s="49"/>
    </row>
    <row r="4" spans="1:17" ht="15" customHeight="1" x14ac:dyDescent="0.15">
      <c r="A4" s="50" t="s">
        <v>380</v>
      </c>
      <c r="B4" s="50"/>
      <c r="C4" s="50"/>
      <c r="D4" s="50"/>
      <c r="E4" s="50"/>
      <c r="F4" s="50"/>
      <c r="G4" s="50"/>
      <c r="H4" s="50"/>
      <c r="I4" s="50"/>
      <c r="J4" s="50"/>
      <c r="K4" s="50"/>
      <c r="L4" s="50"/>
      <c r="M4" s="50"/>
      <c r="N4" s="50"/>
      <c r="O4" s="50"/>
      <c r="P4" s="50"/>
      <c r="Q4" s="50"/>
    </row>
    <row r="5" spans="1:17" ht="15" customHeight="1" x14ac:dyDescent="0.15">
      <c r="A5" s="49" t="s">
        <v>363</v>
      </c>
      <c r="B5" s="49"/>
      <c r="C5" s="49"/>
      <c r="D5" s="49"/>
      <c r="E5" s="49"/>
      <c r="F5" s="49"/>
      <c r="G5" s="49"/>
      <c r="H5" s="49"/>
      <c r="I5" s="49"/>
      <c r="J5" s="49"/>
      <c r="K5" s="49"/>
      <c r="L5" s="49"/>
      <c r="M5" s="49"/>
      <c r="N5" s="49"/>
      <c r="O5" s="49"/>
      <c r="P5" s="49"/>
      <c r="Q5" s="49"/>
    </row>
    <row r="8" spans="1:17" ht="15" customHeight="1" x14ac:dyDescent="0.15">
      <c r="A8" s="56" t="s">
        <v>126</v>
      </c>
      <c r="B8" s="56"/>
      <c r="C8" s="56"/>
      <c r="D8" s="56"/>
      <c r="E8" s="56"/>
      <c r="F8" s="56"/>
      <c r="G8" s="56"/>
      <c r="H8" s="56"/>
      <c r="I8" s="56"/>
      <c r="J8" s="56"/>
      <c r="K8" s="56"/>
      <c r="L8" s="56"/>
      <c r="M8" s="56"/>
    </row>
    <row r="9" spans="1:17" x14ac:dyDescent="0.15">
      <c r="A9" s="56"/>
      <c r="B9" s="56"/>
      <c r="C9" s="56"/>
      <c r="D9" s="56"/>
      <c r="E9" s="56"/>
      <c r="F9" s="56"/>
      <c r="G9" s="56"/>
      <c r="H9" s="56"/>
      <c r="I9" s="56"/>
      <c r="J9" s="56"/>
      <c r="K9" s="56"/>
      <c r="L9" s="56"/>
      <c r="M9" s="56"/>
    </row>
    <row r="10" spans="1:17" ht="15" customHeight="1" x14ac:dyDescent="0.15">
      <c r="A10" s="57" t="s">
        <v>377</v>
      </c>
      <c r="B10" s="57"/>
      <c r="C10" s="57"/>
      <c r="D10" s="57"/>
      <c r="E10" s="57"/>
      <c r="F10" s="57"/>
      <c r="G10" s="57"/>
      <c r="H10" s="57"/>
      <c r="I10" s="57"/>
      <c r="J10" s="57"/>
      <c r="K10" s="57"/>
      <c r="L10" s="57"/>
      <c r="M10" s="57"/>
      <c r="N10" s="42"/>
      <c r="O10" s="41"/>
      <c r="P10" s="41"/>
      <c r="Q10" s="41"/>
    </row>
    <row r="11" spans="1:17" ht="15" x14ac:dyDescent="0.15">
      <c r="A11" s="57"/>
      <c r="B11" s="57"/>
      <c r="C11" s="57"/>
      <c r="D11" s="57"/>
      <c r="E11" s="57"/>
      <c r="F11" s="57"/>
      <c r="G11" s="57"/>
      <c r="H11" s="57"/>
      <c r="I11" s="57"/>
      <c r="J11" s="57"/>
      <c r="K11" s="57"/>
      <c r="L11" s="57"/>
      <c r="M11" s="57"/>
      <c r="N11" s="42"/>
      <c r="O11" s="41"/>
      <c r="P11" s="41"/>
      <c r="Q11" s="41"/>
    </row>
    <row r="12" spans="1:17" ht="15" x14ac:dyDescent="0.15">
      <c r="A12" s="57"/>
      <c r="B12" s="57"/>
      <c r="C12" s="57"/>
      <c r="D12" s="57"/>
      <c r="E12" s="57"/>
      <c r="F12" s="57"/>
      <c r="G12" s="57"/>
      <c r="H12" s="57"/>
      <c r="I12" s="57"/>
      <c r="J12" s="57"/>
      <c r="K12" s="57"/>
      <c r="L12" s="57"/>
      <c r="M12" s="57"/>
      <c r="N12" s="42"/>
      <c r="O12" s="41"/>
      <c r="P12" s="41"/>
      <c r="Q12" s="41"/>
    </row>
    <row r="13" spans="1:17" ht="15" x14ac:dyDescent="0.2">
      <c r="A13" s="55"/>
      <c r="B13" s="55"/>
      <c r="C13" s="55"/>
      <c r="D13" s="55"/>
      <c r="E13" s="55"/>
      <c r="F13" s="55"/>
      <c r="G13" s="55"/>
      <c r="H13" s="55"/>
      <c r="I13" s="55"/>
      <c r="J13" s="55"/>
      <c r="K13" s="55"/>
      <c r="L13" s="55"/>
      <c r="M13" s="55"/>
      <c r="N13" s="42"/>
      <c r="O13" s="41"/>
      <c r="P13" s="41"/>
      <c r="Q13" s="41"/>
    </row>
    <row r="14" spans="1:17" ht="41.25" customHeight="1" x14ac:dyDescent="0.15">
      <c r="A14" s="60" t="s">
        <v>383</v>
      </c>
      <c r="B14" s="60"/>
      <c r="C14" s="60"/>
      <c r="D14" s="60"/>
      <c r="E14" s="60"/>
      <c r="F14" s="60"/>
      <c r="G14" s="60"/>
      <c r="H14" s="60"/>
      <c r="I14" s="60"/>
      <c r="J14" s="60"/>
      <c r="K14" s="60"/>
      <c r="L14" s="60"/>
      <c r="M14" s="60"/>
      <c r="N14" s="42"/>
      <c r="O14" s="41"/>
      <c r="P14" s="41"/>
      <c r="Q14" s="41"/>
    </row>
    <row r="15" spans="1:17" ht="15" x14ac:dyDescent="0.15">
      <c r="A15" s="60"/>
      <c r="B15" s="60"/>
      <c r="C15" s="60"/>
      <c r="D15" s="60"/>
      <c r="E15" s="60"/>
      <c r="F15" s="60"/>
      <c r="G15" s="60"/>
      <c r="H15" s="60"/>
      <c r="I15" s="60"/>
      <c r="J15" s="60"/>
      <c r="K15" s="60"/>
      <c r="L15" s="60"/>
      <c r="M15" s="60"/>
      <c r="N15" s="42"/>
      <c r="O15" s="41"/>
      <c r="P15" s="41"/>
      <c r="Q15" s="41"/>
    </row>
    <row r="16" spans="1:17" ht="15" x14ac:dyDescent="0.15">
      <c r="A16" s="60"/>
      <c r="B16" s="60"/>
      <c r="C16" s="60"/>
      <c r="D16" s="60"/>
      <c r="E16" s="60"/>
      <c r="F16" s="60"/>
      <c r="G16" s="60"/>
      <c r="H16" s="60"/>
      <c r="I16" s="60"/>
      <c r="J16" s="60"/>
      <c r="K16" s="60"/>
      <c r="L16" s="60"/>
      <c r="M16" s="60"/>
      <c r="N16" s="42"/>
      <c r="O16" s="34"/>
      <c r="P16" s="34"/>
      <c r="Q16" s="34"/>
    </row>
    <row r="17" spans="1:17" ht="14.25" customHeight="1" x14ac:dyDescent="0.15">
      <c r="A17" s="60"/>
      <c r="B17" s="60"/>
      <c r="C17" s="60"/>
      <c r="D17" s="60"/>
      <c r="E17" s="60"/>
      <c r="F17" s="60"/>
      <c r="G17" s="60"/>
      <c r="H17" s="60"/>
      <c r="I17" s="60"/>
      <c r="J17" s="60"/>
      <c r="K17" s="60"/>
      <c r="L17" s="60"/>
      <c r="M17" s="60"/>
      <c r="N17" s="42"/>
      <c r="O17" s="41"/>
      <c r="P17" s="41"/>
      <c r="Q17" s="41"/>
    </row>
    <row r="18" spans="1:17" ht="15" x14ac:dyDescent="0.15">
      <c r="A18" s="58"/>
      <c r="B18" s="58"/>
      <c r="C18" s="58"/>
      <c r="D18" s="58"/>
      <c r="E18" s="58"/>
      <c r="F18" s="58"/>
      <c r="G18" s="58"/>
      <c r="H18" s="58"/>
      <c r="I18" s="58"/>
      <c r="J18" s="58"/>
      <c r="K18" s="58"/>
      <c r="L18" s="58"/>
      <c r="M18" s="58"/>
      <c r="N18" s="42"/>
      <c r="O18" s="41"/>
      <c r="P18" s="41"/>
      <c r="Q18" s="41"/>
    </row>
    <row r="19" spans="1:17" ht="15" x14ac:dyDescent="0.15">
      <c r="A19" s="54" t="s">
        <v>366</v>
      </c>
      <c r="B19" s="54"/>
      <c r="C19" s="54"/>
      <c r="D19" s="54"/>
      <c r="E19" s="54"/>
      <c r="F19" s="54"/>
      <c r="G19" s="54"/>
      <c r="H19" s="54"/>
      <c r="I19" s="54"/>
      <c r="J19" s="54"/>
      <c r="K19" s="54"/>
      <c r="L19" s="54"/>
      <c r="M19" s="54"/>
      <c r="N19" s="42"/>
      <c r="O19" s="34"/>
      <c r="P19" s="34"/>
      <c r="Q19" s="34"/>
    </row>
    <row r="20" spans="1:17" ht="14.25" customHeight="1" x14ac:dyDescent="0.15">
      <c r="A20" s="54"/>
      <c r="B20" s="54"/>
      <c r="C20" s="54"/>
      <c r="D20" s="54"/>
      <c r="E20" s="54"/>
      <c r="F20" s="54"/>
      <c r="G20" s="54"/>
      <c r="H20" s="54"/>
      <c r="I20" s="54"/>
      <c r="J20" s="54"/>
      <c r="K20" s="54"/>
      <c r="L20" s="54"/>
      <c r="M20" s="54"/>
      <c r="N20" s="42"/>
      <c r="O20" s="37"/>
      <c r="P20" s="37"/>
      <c r="Q20" s="37"/>
    </row>
    <row r="21" spans="1:17" x14ac:dyDescent="0.15">
      <c r="A21" s="54"/>
      <c r="B21" s="54"/>
      <c r="C21" s="54"/>
      <c r="D21" s="54"/>
      <c r="E21" s="54"/>
      <c r="F21" s="54"/>
      <c r="G21" s="54"/>
      <c r="H21" s="54"/>
      <c r="I21" s="54"/>
      <c r="J21" s="54"/>
      <c r="K21" s="54"/>
      <c r="L21" s="54"/>
      <c r="M21" s="54"/>
      <c r="N21" s="53"/>
      <c r="O21" s="37"/>
      <c r="P21" s="37"/>
      <c r="Q21" s="37"/>
    </row>
    <row r="22" spans="1:17" ht="28.5" customHeight="1" x14ac:dyDescent="0.15">
      <c r="A22" s="54" t="s">
        <v>367</v>
      </c>
      <c r="B22" s="54"/>
      <c r="C22" s="54"/>
      <c r="D22" s="54"/>
      <c r="E22" s="54"/>
      <c r="F22" s="54"/>
      <c r="G22" s="54"/>
      <c r="H22" s="54"/>
      <c r="I22" s="54"/>
      <c r="J22" s="54"/>
      <c r="K22" s="54"/>
      <c r="L22" s="54"/>
      <c r="M22" s="54"/>
      <c r="N22" s="53"/>
      <c r="O22" s="34"/>
      <c r="P22" s="34"/>
      <c r="Q22" s="34"/>
    </row>
    <row r="23" spans="1:17" ht="14.25" customHeight="1" x14ac:dyDescent="0.15">
      <c r="A23" s="54"/>
      <c r="B23" s="54"/>
      <c r="C23" s="54"/>
      <c r="D23" s="54"/>
      <c r="E23" s="54"/>
      <c r="F23" s="54"/>
      <c r="G23" s="54"/>
      <c r="H23" s="54"/>
      <c r="I23" s="54"/>
      <c r="J23" s="54"/>
      <c r="K23" s="54"/>
      <c r="L23" s="54"/>
      <c r="M23" s="54"/>
      <c r="N23" s="42"/>
      <c r="O23" s="41"/>
      <c r="P23" s="41"/>
      <c r="Q23" s="41"/>
    </row>
    <row r="24" spans="1:17" ht="57" customHeight="1" x14ac:dyDescent="0.15">
      <c r="A24" s="54" t="s">
        <v>368</v>
      </c>
      <c r="B24" s="54"/>
      <c r="C24" s="54"/>
      <c r="D24" s="54"/>
      <c r="E24" s="54"/>
      <c r="F24" s="54"/>
      <c r="G24" s="54"/>
      <c r="H24" s="54"/>
      <c r="I24" s="54"/>
      <c r="J24" s="54"/>
      <c r="K24" s="54"/>
      <c r="L24" s="54"/>
      <c r="M24" s="54"/>
      <c r="N24" s="42"/>
      <c r="O24" s="41"/>
      <c r="P24" s="41"/>
      <c r="Q24" s="41"/>
    </row>
    <row r="25" spans="1:17" ht="15" x14ac:dyDescent="0.15">
      <c r="A25" s="59"/>
      <c r="B25" s="59"/>
      <c r="C25" s="59"/>
      <c r="D25" s="59"/>
      <c r="E25" s="59"/>
      <c r="F25" s="59"/>
      <c r="G25" s="59"/>
      <c r="H25" s="59"/>
      <c r="I25" s="59"/>
      <c r="J25" s="59"/>
      <c r="K25" s="59"/>
      <c r="L25" s="59"/>
      <c r="M25" s="59"/>
      <c r="N25" s="42"/>
      <c r="O25" s="24"/>
      <c r="P25" s="24"/>
      <c r="Q25" s="24"/>
    </row>
    <row r="26" spans="1:17" ht="15" x14ac:dyDescent="0.15">
      <c r="A26" s="54" t="s">
        <v>369</v>
      </c>
      <c r="B26" s="54"/>
      <c r="C26" s="54"/>
      <c r="D26" s="54"/>
      <c r="E26" s="54"/>
      <c r="F26" s="54"/>
      <c r="G26" s="54"/>
      <c r="H26" s="54"/>
      <c r="I26" s="54"/>
      <c r="J26" s="54"/>
      <c r="K26" s="54"/>
      <c r="L26" s="54"/>
      <c r="M26" s="54"/>
      <c r="N26" s="42"/>
      <c r="O26" s="34"/>
      <c r="P26" s="34"/>
      <c r="Q26" s="34"/>
    </row>
    <row r="27" spans="1:17" ht="14.25" customHeight="1" x14ac:dyDescent="0.15">
      <c r="A27" s="54"/>
      <c r="B27" s="54"/>
      <c r="C27" s="54"/>
      <c r="D27" s="54"/>
      <c r="E27" s="54"/>
      <c r="F27" s="54"/>
      <c r="G27" s="54"/>
      <c r="H27" s="54"/>
      <c r="I27" s="54"/>
      <c r="J27" s="54"/>
      <c r="K27" s="54"/>
      <c r="L27" s="54"/>
      <c r="M27" s="54"/>
      <c r="N27" s="42"/>
      <c r="O27" s="41"/>
      <c r="P27" s="41"/>
      <c r="Q27" s="41"/>
    </row>
    <row r="28" spans="1:17" ht="15" x14ac:dyDescent="0.15">
      <c r="A28" s="58"/>
      <c r="B28" s="58"/>
      <c r="C28" s="58"/>
      <c r="D28" s="58"/>
      <c r="E28" s="58"/>
      <c r="F28" s="58"/>
      <c r="G28" s="58"/>
      <c r="H28" s="58"/>
      <c r="I28" s="58"/>
      <c r="J28" s="58"/>
      <c r="K28" s="58"/>
      <c r="L28" s="58"/>
      <c r="M28" s="58"/>
      <c r="N28" s="42"/>
      <c r="O28" s="41"/>
      <c r="P28" s="41"/>
      <c r="Q28" s="41"/>
    </row>
    <row r="29" spans="1:17" ht="15" x14ac:dyDescent="0.15">
      <c r="A29" s="54" t="s">
        <v>376</v>
      </c>
      <c r="B29" s="54"/>
      <c r="C29" s="54"/>
      <c r="D29" s="54"/>
      <c r="E29" s="54"/>
      <c r="F29" s="54"/>
      <c r="G29" s="54"/>
      <c r="H29" s="54"/>
      <c r="I29" s="54"/>
      <c r="J29" s="54"/>
      <c r="K29" s="54"/>
      <c r="L29" s="54"/>
      <c r="M29" s="54"/>
      <c r="N29" s="42"/>
      <c r="O29" s="41"/>
      <c r="P29" s="41"/>
      <c r="Q29" s="41"/>
    </row>
    <row r="30" spans="1:17" ht="15" x14ac:dyDescent="0.15">
      <c r="A30" s="54"/>
      <c r="B30" s="54"/>
      <c r="C30" s="54"/>
      <c r="D30" s="54"/>
      <c r="E30" s="54"/>
      <c r="F30" s="54"/>
      <c r="G30" s="54"/>
      <c r="H30" s="54"/>
      <c r="I30" s="54"/>
      <c r="J30" s="54"/>
      <c r="K30" s="54"/>
      <c r="L30" s="54"/>
      <c r="M30" s="54"/>
      <c r="N30" s="42"/>
      <c r="O30" s="41"/>
      <c r="P30" s="41"/>
      <c r="Q30" s="41"/>
    </row>
    <row r="31" spans="1:17" ht="14.25" customHeight="1" x14ac:dyDescent="0.15">
      <c r="A31" s="54"/>
      <c r="B31" s="54"/>
      <c r="C31" s="54"/>
      <c r="D31" s="54"/>
      <c r="E31" s="54"/>
      <c r="F31" s="54"/>
      <c r="G31" s="54"/>
      <c r="H31" s="54"/>
      <c r="I31" s="54"/>
      <c r="J31" s="54"/>
      <c r="K31" s="54"/>
      <c r="L31" s="54"/>
      <c r="M31" s="54"/>
      <c r="N31" s="42"/>
      <c r="O31" s="37"/>
      <c r="P31" s="37"/>
      <c r="Q31" s="37"/>
    </row>
    <row r="32" spans="1:17" ht="15" x14ac:dyDescent="0.15">
      <c r="A32" s="54"/>
      <c r="B32" s="54"/>
      <c r="C32" s="54"/>
      <c r="D32" s="54"/>
      <c r="E32" s="54"/>
      <c r="F32" s="54"/>
      <c r="G32" s="54"/>
      <c r="H32" s="54"/>
      <c r="I32" s="54"/>
      <c r="J32" s="54"/>
      <c r="K32" s="54"/>
      <c r="L32" s="54"/>
      <c r="M32" s="54"/>
      <c r="N32" s="42"/>
      <c r="O32" s="37"/>
      <c r="P32" s="37"/>
      <c r="Q32" s="37"/>
    </row>
    <row r="33" spans="1:17" ht="15" x14ac:dyDescent="0.2">
      <c r="A33" s="55"/>
      <c r="B33" s="55"/>
      <c r="C33" s="55"/>
      <c r="D33" s="55"/>
      <c r="E33" s="55"/>
      <c r="F33" s="55"/>
      <c r="G33" s="55"/>
      <c r="H33" s="55"/>
      <c r="I33" s="55"/>
      <c r="J33" s="55"/>
      <c r="K33" s="55"/>
      <c r="L33" s="55"/>
      <c r="M33" s="55"/>
      <c r="N33" s="42"/>
      <c r="O33" s="34"/>
      <c r="P33" s="34"/>
      <c r="Q33" s="34"/>
    </row>
    <row r="34" spans="1:17" ht="15" customHeight="1" x14ac:dyDescent="0.15">
      <c r="A34" s="54" t="s">
        <v>370</v>
      </c>
      <c r="B34" s="54"/>
      <c r="C34" s="54"/>
      <c r="D34" s="54"/>
      <c r="E34" s="54"/>
      <c r="F34" s="54"/>
      <c r="G34" s="54"/>
      <c r="H34" s="54"/>
      <c r="I34" s="54"/>
      <c r="J34" s="54"/>
      <c r="K34" s="54"/>
      <c r="L34" s="54"/>
      <c r="M34" s="54"/>
      <c r="N34" s="42"/>
      <c r="O34" s="43"/>
      <c r="P34" s="43"/>
      <c r="Q34" s="43"/>
    </row>
    <row r="35" spans="1:17" ht="15" customHeight="1" x14ac:dyDescent="0.15">
      <c r="A35" s="54"/>
      <c r="B35" s="54"/>
      <c r="C35" s="54"/>
      <c r="D35" s="54"/>
      <c r="E35" s="54"/>
      <c r="F35" s="54"/>
      <c r="G35" s="54"/>
      <c r="H35" s="54"/>
      <c r="I35" s="54"/>
      <c r="J35" s="54"/>
      <c r="K35" s="54"/>
      <c r="L35" s="54"/>
      <c r="M35" s="54"/>
      <c r="N35" s="42"/>
      <c r="O35" s="43"/>
      <c r="P35" s="43"/>
      <c r="Q35" s="43"/>
    </row>
    <row r="36" spans="1:17" ht="15" customHeight="1" x14ac:dyDescent="0.2">
      <c r="A36" s="55"/>
      <c r="B36" s="55"/>
      <c r="C36" s="55"/>
      <c r="D36" s="55"/>
      <c r="E36" s="55"/>
      <c r="F36" s="55"/>
      <c r="G36" s="55"/>
      <c r="H36" s="55"/>
      <c r="I36" s="55"/>
      <c r="J36" s="55"/>
      <c r="K36" s="55"/>
      <c r="L36" s="55"/>
      <c r="M36" s="55"/>
      <c r="N36" s="42"/>
      <c r="O36" s="43"/>
      <c r="P36" s="43"/>
      <c r="Q36" s="43"/>
    </row>
    <row r="37" spans="1:17" ht="15" x14ac:dyDescent="0.15">
      <c r="A37" s="54" t="s">
        <v>371</v>
      </c>
      <c r="B37" s="54"/>
      <c r="C37" s="54"/>
      <c r="D37" s="54"/>
      <c r="E37" s="54"/>
      <c r="F37" s="54"/>
      <c r="G37" s="54"/>
      <c r="H37" s="54"/>
      <c r="I37" s="54"/>
      <c r="J37" s="54"/>
      <c r="K37" s="54"/>
      <c r="L37" s="54"/>
      <c r="M37" s="54"/>
      <c r="N37" s="42"/>
      <c r="O37" s="34"/>
      <c r="P37" s="34"/>
      <c r="Q37" s="34"/>
    </row>
    <row r="38" spans="1:17" ht="15" x14ac:dyDescent="0.15">
      <c r="A38" s="54"/>
      <c r="B38" s="54"/>
      <c r="C38" s="54"/>
      <c r="D38" s="54"/>
      <c r="E38" s="54"/>
      <c r="F38" s="54"/>
      <c r="G38" s="54"/>
      <c r="H38" s="54"/>
      <c r="I38" s="54"/>
      <c r="J38" s="54"/>
      <c r="K38" s="54"/>
      <c r="L38" s="54"/>
      <c r="M38" s="54"/>
      <c r="N38" s="42"/>
      <c r="O38" s="34"/>
      <c r="P38" s="34"/>
      <c r="Q38" s="34"/>
    </row>
    <row r="39" spans="1:17" ht="15" customHeight="1" x14ac:dyDescent="0.15">
      <c r="A39" s="54"/>
      <c r="B39" s="54"/>
      <c r="C39" s="54"/>
      <c r="D39" s="54"/>
      <c r="E39" s="54"/>
      <c r="F39" s="54"/>
      <c r="G39" s="54"/>
      <c r="H39" s="54"/>
      <c r="I39" s="54"/>
      <c r="J39" s="54"/>
      <c r="K39" s="54"/>
      <c r="L39" s="54"/>
      <c r="M39" s="54"/>
      <c r="N39" s="42"/>
      <c r="O39" s="34"/>
      <c r="P39" s="34"/>
      <c r="Q39" s="34"/>
    </row>
    <row r="40" spans="1:17" ht="15" x14ac:dyDescent="0.15">
      <c r="A40" s="54"/>
      <c r="B40" s="54"/>
      <c r="C40" s="54"/>
      <c r="D40" s="54"/>
      <c r="E40" s="54"/>
      <c r="F40" s="54"/>
      <c r="G40" s="54"/>
      <c r="H40" s="54"/>
      <c r="I40" s="54"/>
      <c r="J40" s="54"/>
      <c r="K40" s="54"/>
      <c r="L40" s="54"/>
      <c r="M40" s="54"/>
      <c r="N40" s="42"/>
      <c r="O40" s="34"/>
      <c r="P40" s="34"/>
      <c r="Q40" s="34"/>
    </row>
    <row r="41" spans="1:17" ht="15" x14ac:dyDescent="0.2">
      <c r="A41" s="55"/>
      <c r="B41" s="55"/>
      <c r="C41" s="55"/>
      <c r="D41" s="55"/>
      <c r="E41" s="55"/>
      <c r="F41" s="55"/>
      <c r="G41" s="55"/>
      <c r="H41" s="55"/>
      <c r="I41" s="55"/>
      <c r="J41" s="55"/>
      <c r="K41" s="55"/>
      <c r="L41" s="55"/>
      <c r="M41" s="55"/>
      <c r="N41" s="42"/>
      <c r="O41" s="34"/>
      <c r="P41" s="34"/>
      <c r="Q41" s="34"/>
    </row>
    <row r="42" spans="1:17" ht="15" x14ac:dyDescent="0.15">
      <c r="A42" s="54" t="s">
        <v>372</v>
      </c>
      <c r="B42" s="54"/>
      <c r="C42" s="54"/>
      <c r="D42" s="54"/>
      <c r="E42" s="54"/>
      <c r="F42" s="54"/>
      <c r="G42" s="54"/>
      <c r="H42" s="54"/>
      <c r="I42" s="54"/>
      <c r="J42" s="54"/>
      <c r="K42" s="54"/>
      <c r="L42" s="54"/>
      <c r="M42" s="54"/>
      <c r="N42" s="42"/>
      <c r="O42" s="34"/>
      <c r="P42" s="34"/>
      <c r="Q42" s="34"/>
    </row>
    <row r="43" spans="1:17" ht="15" x14ac:dyDescent="0.15">
      <c r="A43" s="54"/>
      <c r="B43" s="54"/>
      <c r="C43" s="54"/>
      <c r="D43" s="54"/>
      <c r="E43" s="54"/>
      <c r="F43" s="54"/>
      <c r="G43" s="54"/>
      <c r="H43" s="54"/>
      <c r="I43" s="54"/>
      <c r="J43" s="54"/>
      <c r="K43" s="54"/>
      <c r="L43" s="54"/>
      <c r="M43" s="54"/>
      <c r="N43" s="42"/>
      <c r="O43" s="34"/>
      <c r="P43" s="34"/>
      <c r="Q43" s="34"/>
    </row>
    <row r="44" spans="1:17" ht="15" customHeight="1" x14ac:dyDescent="0.15">
      <c r="A44" s="54"/>
      <c r="B44" s="54"/>
      <c r="C44" s="54"/>
      <c r="D44" s="54"/>
      <c r="E44" s="54"/>
      <c r="F44" s="54"/>
      <c r="G44" s="54"/>
      <c r="H44" s="54"/>
      <c r="I44" s="54"/>
      <c r="J44" s="54"/>
      <c r="K44" s="54"/>
      <c r="L44" s="54"/>
      <c r="M44" s="54"/>
      <c r="N44" s="42"/>
      <c r="O44" s="34"/>
      <c r="P44" s="34"/>
      <c r="Q44" s="34"/>
    </row>
    <row r="45" spans="1:17" ht="15" x14ac:dyDescent="0.15">
      <c r="A45" s="54"/>
      <c r="B45" s="54"/>
      <c r="C45" s="54"/>
      <c r="D45" s="54"/>
      <c r="E45" s="54"/>
      <c r="F45" s="54"/>
      <c r="G45" s="54"/>
      <c r="H45" s="54"/>
      <c r="I45" s="54"/>
      <c r="J45" s="54"/>
      <c r="K45" s="54"/>
      <c r="L45" s="54"/>
      <c r="M45" s="54"/>
      <c r="N45" s="42"/>
      <c r="O45" s="34"/>
      <c r="P45" s="34"/>
      <c r="Q45" s="34"/>
    </row>
    <row r="46" spans="1:17" ht="15" x14ac:dyDescent="0.2">
      <c r="A46" s="55"/>
      <c r="B46" s="55"/>
      <c r="C46" s="55"/>
      <c r="D46" s="55"/>
      <c r="E46" s="55"/>
      <c r="F46" s="55"/>
      <c r="G46" s="55"/>
      <c r="H46" s="55"/>
      <c r="I46" s="55"/>
      <c r="J46" s="55"/>
      <c r="K46" s="55"/>
      <c r="L46" s="55"/>
      <c r="M46" s="55"/>
      <c r="N46" s="42"/>
      <c r="O46" s="34"/>
      <c r="P46" s="34"/>
      <c r="Q46" s="34"/>
    </row>
    <row r="47" spans="1:17" ht="15" customHeight="1" x14ac:dyDescent="0.15">
      <c r="A47" s="54" t="s">
        <v>373</v>
      </c>
      <c r="B47" s="54"/>
      <c r="C47" s="54"/>
      <c r="D47" s="54"/>
      <c r="E47" s="54"/>
      <c r="F47" s="54"/>
      <c r="G47" s="54"/>
      <c r="H47" s="54"/>
      <c r="I47" s="54"/>
      <c r="J47" s="54"/>
      <c r="K47" s="54"/>
      <c r="L47" s="54"/>
      <c r="M47" s="54"/>
      <c r="N47" s="42"/>
      <c r="O47" s="34"/>
      <c r="P47" s="34"/>
      <c r="Q47" s="34"/>
    </row>
    <row r="48" spans="1:17" ht="15" x14ac:dyDescent="0.15">
      <c r="A48" s="54"/>
      <c r="B48" s="54"/>
      <c r="C48" s="54"/>
      <c r="D48" s="54"/>
      <c r="E48" s="54"/>
      <c r="F48" s="54"/>
      <c r="G48" s="54"/>
      <c r="H48" s="54"/>
      <c r="I48" s="54"/>
      <c r="J48" s="54"/>
      <c r="K48" s="54"/>
      <c r="L48" s="54"/>
      <c r="M48" s="54"/>
      <c r="N48" s="42"/>
      <c r="O48" s="34"/>
      <c r="P48" s="34"/>
      <c r="Q48" s="34"/>
    </row>
    <row r="49" spans="1:17" ht="15" x14ac:dyDescent="0.2">
      <c r="A49" s="55"/>
      <c r="B49" s="55"/>
      <c r="C49" s="55"/>
      <c r="D49" s="55"/>
      <c r="E49" s="55"/>
      <c r="F49" s="55"/>
      <c r="G49" s="55"/>
      <c r="H49" s="55"/>
      <c r="I49" s="55"/>
      <c r="J49" s="55"/>
      <c r="K49" s="55"/>
      <c r="L49" s="55"/>
      <c r="M49" s="55"/>
      <c r="N49" s="42"/>
      <c r="O49" s="34"/>
      <c r="P49" s="34"/>
      <c r="Q49" s="34"/>
    </row>
    <row r="50" spans="1:17" ht="15" customHeight="1" x14ac:dyDescent="0.15">
      <c r="A50" s="54" t="s">
        <v>374</v>
      </c>
      <c r="B50" s="54"/>
      <c r="C50" s="54"/>
      <c r="D50" s="54"/>
      <c r="E50" s="54"/>
      <c r="F50" s="54"/>
      <c r="G50" s="54"/>
      <c r="H50" s="54"/>
      <c r="I50" s="54"/>
      <c r="J50" s="54"/>
      <c r="K50" s="54"/>
      <c r="L50" s="54"/>
      <c r="M50" s="54"/>
      <c r="N50" s="42"/>
      <c r="O50" s="34"/>
      <c r="P50" s="34"/>
      <c r="Q50" s="34"/>
    </row>
    <row r="51" spans="1:17" ht="15" x14ac:dyDescent="0.15">
      <c r="A51" s="54"/>
      <c r="B51" s="54"/>
      <c r="C51" s="54"/>
      <c r="D51" s="54"/>
      <c r="E51" s="54"/>
      <c r="F51" s="54"/>
      <c r="G51" s="54"/>
      <c r="H51" s="54"/>
      <c r="I51" s="54"/>
      <c r="J51" s="54"/>
      <c r="K51" s="54"/>
      <c r="L51" s="54"/>
      <c r="M51" s="54"/>
      <c r="N51" s="42"/>
      <c r="O51" s="34"/>
      <c r="P51" s="34"/>
      <c r="Q51" s="34"/>
    </row>
    <row r="52" spans="1:17" ht="15" x14ac:dyDescent="0.2">
      <c r="A52" s="55"/>
      <c r="B52" s="55"/>
      <c r="C52" s="55"/>
      <c r="D52" s="55"/>
      <c r="E52" s="55"/>
      <c r="F52" s="55"/>
      <c r="G52" s="55"/>
      <c r="H52" s="55"/>
      <c r="I52" s="55"/>
      <c r="J52" s="55"/>
      <c r="K52" s="55"/>
      <c r="L52" s="55"/>
      <c r="M52" s="55"/>
      <c r="N52" s="42"/>
    </row>
    <row r="53" spans="1:17" ht="15" x14ac:dyDescent="0.15">
      <c r="A53" s="54" t="s">
        <v>375</v>
      </c>
      <c r="B53" s="54"/>
      <c r="C53" s="54"/>
      <c r="D53" s="54"/>
      <c r="E53" s="54"/>
      <c r="F53" s="54"/>
      <c r="G53" s="54"/>
      <c r="H53" s="54"/>
      <c r="I53" s="54"/>
      <c r="J53" s="54"/>
      <c r="K53" s="54"/>
      <c r="L53" s="54"/>
      <c r="M53" s="54"/>
      <c r="N53" s="42"/>
    </row>
  </sheetData>
  <mergeCells count="32">
    <mergeCell ref="A8:M9"/>
    <mergeCell ref="A10:M12"/>
    <mergeCell ref="A53:M53"/>
    <mergeCell ref="A13:M13"/>
    <mergeCell ref="A18:M18"/>
    <mergeCell ref="A25:M25"/>
    <mergeCell ref="A28:M28"/>
    <mergeCell ref="A33:M33"/>
    <mergeCell ref="A36:M36"/>
    <mergeCell ref="A41:M41"/>
    <mergeCell ref="A46:M46"/>
    <mergeCell ref="A49:M49"/>
    <mergeCell ref="A22:M22"/>
    <mergeCell ref="A14:M17"/>
    <mergeCell ref="A19:M20"/>
    <mergeCell ref="N21:N22"/>
    <mergeCell ref="A23:M23"/>
    <mergeCell ref="A24:M24"/>
    <mergeCell ref="A47:M48"/>
    <mergeCell ref="A52:M52"/>
    <mergeCell ref="A34:M35"/>
    <mergeCell ref="A37:M40"/>
    <mergeCell ref="A42:M45"/>
    <mergeCell ref="A50:M51"/>
    <mergeCell ref="A26:M27"/>
    <mergeCell ref="A29:M32"/>
    <mergeCell ref="A21:M21"/>
    <mergeCell ref="A3:Q3"/>
    <mergeCell ref="A4:Q4"/>
    <mergeCell ref="A5:Q5"/>
    <mergeCell ref="A1:Q1"/>
    <mergeCell ref="A2:Q2"/>
  </mergeCells>
  <hyperlinks>
    <hyperlink ref="A14" r:id="rId1" display="http://www.cbo.gov/publication/57950" xr:uid="{B0C7A1E1-52C5-45A7-BDF8-A935FF8034B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91569-79FF-42EB-9D9D-32484BE1D8B2}">
  <dimension ref="A1:O302"/>
  <sheetViews>
    <sheetView workbookViewId="0">
      <selection activeCell="B306" sqref="B306"/>
    </sheetView>
  </sheetViews>
  <sheetFormatPr baseColWidth="10" defaultColWidth="9.1640625" defaultRowHeight="14" x14ac:dyDescent="0.15"/>
  <cols>
    <col min="1" max="2" width="9.1640625" style="12"/>
    <col min="3" max="3" width="87.5" style="12" customWidth="1"/>
    <col min="4" max="13" width="9.1640625" style="13"/>
    <col min="14" max="15" width="14.1640625" style="13" customWidth="1"/>
    <col min="16" max="16384" width="9.1640625" style="12"/>
  </cols>
  <sheetData>
    <row r="1" spans="1:15" x14ac:dyDescent="0.15">
      <c r="A1" s="67" t="s">
        <v>381</v>
      </c>
      <c r="B1" s="67"/>
      <c r="C1" s="67"/>
      <c r="D1" s="67"/>
      <c r="E1" s="67"/>
      <c r="F1" s="67"/>
      <c r="G1" s="67"/>
      <c r="H1" s="67"/>
      <c r="I1" s="67"/>
      <c r="J1" s="67"/>
      <c r="K1" s="67"/>
      <c r="L1" s="67"/>
      <c r="M1" s="67"/>
      <c r="N1" s="67"/>
      <c r="O1" s="67"/>
    </row>
    <row r="2" spans="1:15" x14ac:dyDescent="0.15">
      <c r="A2" s="61" t="s">
        <v>358</v>
      </c>
      <c r="B2" s="61"/>
      <c r="C2" s="61"/>
      <c r="D2" s="61"/>
      <c r="E2" s="61"/>
      <c r="F2" s="61"/>
      <c r="G2" s="61"/>
      <c r="H2" s="61"/>
      <c r="I2" s="61"/>
      <c r="J2" s="61"/>
      <c r="K2" s="61"/>
      <c r="L2" s="61"/>
      <c r="M2" s="61"/>
      <c r="N2" s="61"/>
      <c r="O2" s="61"/>
    </row>
    <row r="4" spans="1:15" x14ac:dyDescent="0.15">
      <c r="A4" s="65" t="s">
        <v>378</v>
      </c>
      <c r="B4" s="65"/>
      <c r="C4" s="65"/>
    </row>
    <row r="6" spans="1:15" x14ac:dyDescent="0.15">
      <c r="A6" s="14" t="s">
        <v>0</v>
      </c>
    </row>
    <row r="7" spans="1:15" x14ac:dyDescent="0.15">
      <c r="A7" s="65" t="s">
        <v>270</v>
      </c>
      <c r="B7" s="65"/>
      <c r="C7" s="65"/>
      <c r="O7" s="18" t="s">
        <v>171</v>
      </c>
    </row>
    <row r="9" spans="1:15" x14ac:dyDescent="0.15">
      <c r="A9" s="51" t="s">
        <v>2</v>
      </c>
      <c r="B9" s="51"/>
      <c r="D9" s="13">
        <v>2023</v>
      </c>
      <c r="E9" s="13">
        <v>2024</v>
      </c>
      <c r="F9" s="13">
        <v>2025</v>
      </c>
      <c r="G9" s="13">
        <v>2026</v>
      </c>
      <c r="H9" s="13">
        <v>2027</v>
      </c>
      <c r="I9" s="13">
        <v>2028</v>
      </c>
      <c r="J9" s="13">
        <v>2029</v>
      </c>
      <c r="K9" s="13">
        <v>2030</v>
      </c>
      <c r="L9" s="13">
        <v>2031</v>
      </c>
      <c r="M9" s="13">
        <v>2032</v>
      </c>
      <c r="N9" s="13" t="s">
        <v>3</v>
      </c>
      <c r="O9" s="13" t="s">
        <v>4</v>
      </c>
    </row>
    <row r="11" spans="1:15" ht="15" x14ac:dyDescent="0.15">
      <c r="D11" s="66" t="s">
        <v>352</v>
      </c>
      <c r="E11" s="66"/>
      <c r="F11" s="66"/>
      <c r="G11" s="66"/>
      <c r="H11" s="66"/>
      <c r="I11" s="66"/>
      <c r="J11" s="66"/>
      <c r="K11" s="66"/>
      <c r="L11" s="66"/>
      <c r="M11" s="66"/>
      <c r="N11" s="66"/>
      <c r="O11" s="66"/>
    </row>
    <row r="12" spans="1:15" x14ac:dyDescent="0.15">
      <c r="A12" s="51" t="s">
        <v>271</v>
      </c>
      <c r="B12" s="51"/>
      <c r="C12" s="51"/>
    </row>
    <row r="13" spans="1:15" x14ac:dyDescent="0.15">
      <c r="B13" s="51" t="s">
        <v>5</v>
      </c>
      <c r="C13" s="51"/>
      <c r="D13" s="13">
        <v>0</v>
      </c>
      <c r="E13" s="13">
        <v>-2</v>
      </c>
      <c r="F13" s="13">
        <v>-48</v>
      </c>
      <c r="G13" s="13">
        <v>-61</v>
      </c>
      <c r="H13" s="13">
        <v>-81</v>
      </c>
      <c r="I13" s="13">
        <v>-96</v>
      </c>
      <c r="J13" s="13">
        <v>-111</v>
      </c>
      <c r="K13" s="13">
        <v>-129</v>
      </c>
      <c r="L13" s="13">
        <v>-151</v>
      </c>
      <c r="M13" s="13">
        <v>-173</v>
      </c>
      <c r="N13" s="13">
        <v>-193</v>
      </c>
      <c r="O13" s="13">
        <v>-853</v>
      </c>
    </row>
    <row r="14" spans="1:15" ht="15" x14ac:dyDescent="0.15">
      <c r="B14" s="51" t="s">
        <v>181</v>
      </c>
      <c r="C14" s="51"/>
      <c r="D14" s="13">
        <v>0</v>
      </c>
      <c r="E14" s="13" t="s">
        <v>33</v>
      </c>
      <c r="F14" s="13">
        <v>-1</v>
      </c>
      <c r="G14" s="13">
        <v>-1</v>
      </c>
      <c r="H14" s="13">
        <v>-2</v>
      </c>
      <c r="I14" s="13">
        <v>-2</v>
      </c>
      <c r="J14" s="13">
        <v>-2</v>
      </c>
      <c r="K14" s="13">
        <v>-3</v>
      </c>
      <c r="L14" s="13">
        <v>-3</v>
      </c>
      <c r="M14" s="13">
        <v>-3</v>
      </c>
      <c r="N14" s="13">
        <v>-3</v>
      </c>
      <c r="O14" s="13">
        <v>-17</v>
      </c>
    </row>
    <row r="15" spans="1:15" x14ac:dyDescent="0.15">
      <c r="C15" s="26" t="s">
        <v>117</v>
      </c>
      <c r="D15" s="13">
        <v>0</v>
      </c>
      <c r="E15" s="13">
        <v>-2</v>
      </c>
      <c r="F15" s="13">
        <v>-47</v>
      </c>
      <c r="G15" s="13">
        <v>-60</v>
      </c>
      <c r="H15" s="13">
        <v>-79</v>
      </c>
      <c r="I15" s="13">
        <v>-94</v>
      </c>
      <c r="J15" s="13">
        <v>-109</v>
      </c>
      <c r="K15" s="13">
        <v>-126</v>
      </c>
      <c r="L15" s="13">
        <v>-148</v>
      </c>
      <c r="M15" s="13">
        <v>-170</v>
      </c>
      <c r="N15" s="13">
        <v>-190</v>
      </c>
      <c r="O15" s="13">
        <v>-836</v>
      </c>
    </row>
    <row r="16" spans="1:15" x14ac:dyDescent="0.15">
      <c r="A16" s="51" t="s">
        <v>272</v>
      </c>
      <c r="B16" s="51"/>
      <c r="C16" s="51"/>
    </row>
    <row r="17" spans="1:15" x14ac:dyDescent="0.15">
      <c r="B17" s="51" t="s">
        <v>5</v>
      </c>
      <c r="C17" s="51"/>
      <c r="D17" s="13">
        <v>0</v>
      </c>
      <c r="E17" s="13">
        <v>-2</v>
      </c>
      <c r="F17" s="13">
        <v>-25</v>
      </c>
      <c r="G17" s="13">
        <v>-33</v>
      </c>
      <c r="H17" s="13">
        <v>-48</v>
      </c>
      <c r="I17" s="13">
        <v>-57</v>
      </c>
      <c r="J17" s="13">
        <v>-67</v>
      </c>
      <c r="K17" s="13">
        <v>-79</v>
      </c>
      <c r="L17" s="13">
        <v>-95</v>
      </c>
      <c r="M17" s="13">
        <v>-110</v>
      </c>
      <c r="N17" s="13">
        <v>-108</v>
      </c>
      <c r="O17" s="13">
        <v>-516</v>
      </c>
    </row>
    <row r="18" spans="1:15" ht="15" x14ac:dyDescent="0.15">
      <c r="B18" s="51" t="s">
        <v>181</v>
      </c>
      <c r="C18" s="51"/>
      <c r="D18" s="13">
        <v>0</v>
      </c>
      <c r="E18" s="13" t="s">
        <v>33</v>
      </c>
      <c r="F18" s="13">
        <v>-1</v>
      </c>
      <c r="G18" s="13">
        <v>-1</v>
      </c>
      <c r="H18" s="13">
        <v>-1</v>
      </c>
      <c r="I18" s="13">
        <v>-2</v>
      </c>
      <c r="J18" s="13">
        <v>-2</v>
      </c>
      <c r="K18" s="13">
        <v>-2</v>
      </c>
      <c r="L18" s="13">
        <v>-3</v>
      </c>
      <c r="M18" s="13">
        <v>-3</v>
      </c>
      <c r="N18" s="13">
        <v>-3</v>
      </c>
      <c r="O18" s="13">
        <v>-15</v>
      </c>
    </row>
    <row r="19" spans="1:15" x14ac:dyDescent="0.15">
      <c r="C19" s="26" t="s">
        <v>117</v>
      </c>
      <c r="D19" s="13">
        <v>0</v>
      </c>
      <c r="E19" s="13">
        <v>-2</v>
      </c>
      <c r="F19" s="13">
        <v>-24</v>
      </c>
      <c r="G19" s="13">
        <v>-32</v>
      </c>
      <c r="H19" s="13">
        <v>-47</v>
      </c>
      <c r="I19" s="13">
        <v>-55</v>
      </c>
      <c r="J19" s="13">
        <v>-65</v>
      </c>
      <c r="K19" s="13">
        <v>-77</v>
      </c>
      <c r="L19" s="13">
        <v>-92</v>
      </c>
      <c r="M19" s="13">
        <v>-107</v>
      </c>
      <c r="N19" s="13">
        <v>-105</v>
      </c>
      <c r="O19" s="13">
        <v>-501</v>
      </c>
    </row>
    <row r="20" spans="1:15" ht="15" x14ac:dyDescent="0.15">
      <c r="D20" s="66" t="s">
        <v>353</v>
      </c>
      <c r="E20" s="66"/>
      <c r="F20" s="66"/>
      <c r="G20" s="66"/>
      <c r="H20" s="66"/>
      <c r="I20" s="66"/>
      <c r="J20" s="66"/>
      <c r="K20" s="66"/>
      <c r="L20" s="66"/>
      <c r="M20" s="66"/>
      <c r="N20" s="66"/>
      <c r="O20" s="66"/>
    </row>
    <row r="21" spans="1:15" x14ac:dyDescent="0.15">
      <c r="A21" s="51" t="s">
        <v>271</v>
      </c>
      <c r="B21" s="51"/>
      <c r="C21" s="51"/>
    </row>
    <row r="22" spans="1:15" x14ac:dyDescent="0.15">
      <c r="B22" s="51" t="s">
        <v>5</v>
      </c>
      <c r="C22" s="51"/>
      <c r="D22" s="13">
        <v>0</v>
      </c>
      <c r="E22" s="13">
        <v>-2</v>
      </c>
      <c r="F22" s="13">
        <v>-3</v>
      </c>
      <c r="G22" s="13">
        <v>-69</v>
      </c>
      <c r="H22" s="13">
        <v>-86</v>
      </c>
      <c r="I22" s="13">
        <v>-104</v>
      </c>
      <c r="J22" s="13">
        <v>-123</v>
      </c>
      <c r="K22" s="13">
        <v>-143</v>
      </c>
      <c r="L22" s="13">
        <v>-165</v>
      </c>
      <c r="M22" s="13">
        <v>-188</v>
      </c>
      <c r="N22" s="13">
        <v>-161</v>
      </c>
      <c r="O22" s="13">
        <v>-884</v>
      </c>
    </row>
    <row r="23" spans="1:15" ht="15" x14ac:dyDescent="0.15">
      <c r="B23" s="51" t="s">
        <v>181</v>
      </c>
      <c r="C23" s="51"/>
      <c r="D23" s="13">
        <v>0</v>
      </c>
      <c r="E23" s="13" t="s">
        <v>33</v>
      </c>
      <c r="F23" s="13" t="s">
        <v>33</v>
      </c>
      <c r="G23" s="13">
        <v>-1</v>
      </c>
      <c r="H23" s="13">
        <v>-1</v>
      </c>
      <c r="I23" s="13">
        <v>-1</v>
      </c>
      <c r="J23" s="13">
        <v>-2</v>
      </c>
      <c r="K23" s="13">
        <v>-2</v>
      </c>
      <c r="L23" s="13">
        <v>-2</v>
      </c>
      <c r="M23" s="13">
        <v>-3</v>
      </c>
      <c r="N23" s="13">
        <v>-3</v>
      </c>
      <c r="O23" s="13">
        <v>-13</v>
      </c>
    </row>
    <row r="24" spans="1:15" x14ac:dyDescent="0.15">
      <c r="C24" s="26" t="s">
        <v>117</v>
      </c>
      <c r="D24" s="13">
        <v>0</v>
      </c>
      <c r="E24" s="13">
        <v>-2</v>
      </c>
      <c r="F24" s="13">
        <v>-3</v>
      </c>
      <c r="G24" s="13">
        <v>-68</v>
      </c>
      <c r="H24" s="13">
        <v>-85</v>
      </c>
      <c r="I24" s="13">
        <v>-103</v>
      </c>
      <c r="J24" s="13">
        <v>-121</v>
      </c>
      <c r="K24" s="13">
        <v>-142</v>
      </c>
      <c r="L24" s="13">
        <v>-163</v>
      </c>
      <c r="M24" s="13">
        <v>-185</v>
      </c>
      <c r="N24" s="13">
        <v>-158</v>
      </c>
      <c r="O24" s="13">
        <v>-871</v>
      </c>
    </row>
    <row r="25" spans="1:15" x14ac:dyDescent="0.15">
      <c r="A25" s="51" t="s">
        <v>272</v>
      </c>
      <c r="B25" s="51"/>
      <c r="C25" s="51"/>
    </row>
    <row r="26" spans="1:15" x14ac:dyDescent="0.15">
      <c r="B26" s="51" t="s">
        <v>5</v>
      </c>
      <c r="C26" s="51"/>
      <c r="D26" s="13">
        <v>0</v>
      </c>
      <c r="E26" s="13">
        <v>-2</v>
      </c>
      <c r="F26" s="13">
        <v>-3</v>
      </c>
      <c r="G26" s="13">
        <v>-38</v>
      </c>
      <c r="H26" s="13">
        <v>-50</v>
      </c>
      <c r="I26" s="13">
        <v>-62</v>
      </c>
      <c r="J26" s="13">
        <v>-76</v>
      </c>
      <c r="K26" s="13">
        <v>-90</v>
      </c>
      <c r="L26" s="13">
        <v>-106</v>
      </c>
      <c r="M26" s="13">
        <v>-123</v>
      </c>
      <c r="N26" s="13">
        <v>-94</v>
      </c>
      <c r="O26" s="13">
        <v>-550</v>
      </c>
    </row>
    <row r="27" spans="1:15" ht="15" x14ac:dyDescent="0.15">
      <c r="B27" s="51" t="s">
        <v>181</v>
      </c>
      <c r="C27" s="51"/>
      <c r="D27" s="13">
        <v>0</v>
      </c>
      <c r="E27" s="13" t="s">
        <v>33</v>
      </c>
      <c r="F27" s="13" t="s">
        <v>33</v>
      </c>
      <c r="G27" s="13">
        <v>-1</v>
      </c>
      <c r="H27" s="13">
        <v>-1</v>
      </c>
      <c r="I27" s="13">
        <v>-1</v>
      </c>
      <c r="J27" s="13">
        <v>-1</v>
      </c>
      <c r="K27" s="13">
        <v>-2</v>
      </c>
      <c r="L27" s="13">
        <v>-2</v>
      </c>
      <c r="M27" s="13">
        <v>-2</v>
      </c>
      <c r="N27" s="13">
        <v>-2</v>
      </c>
      <c r="O27" s="13">
        <v>-11</v>
      </c>
    </row>
    <row r="28" spans="1:15" x14ac:dyDescent="0.15">
      <c r="C28" s="26" t="s">
        <v>117</v>
      </c>
      <c r="D28" s="13">
        <v>0</v>
      </c>
      <c r="E28" s="13">
        <v>-2</v>
      </c>
      <c r="F28" s="13">
        <v>-3</v>
      </c>
      <c r="G28" s="13">
        <v>-37</v>
      </c>
      <c r="H28" s="13">
        <v>-49</v>
      </c>
      <c r="I28" s="13">
        <v>-61</v>
      </c>
      <c r="J28" s="13">
        <v>-75</v>
      </c>
      <c r="K28" s="13">
        <v>-88</v>
      </c>
      <c r="L28" s="13">
        <v>-104</v>
      </c>
      <c r="M28" s="13">
        <v>-121</v>
      </c>
      <c r="N28" s="13">
        <v>-92</v>
      </c>
      <c r="O28" s="13">
        <v>-539</v>
      </c>
    </row>
    <row r="31" spans="1:15" x14ac:dyDescent="0.15">
      <c r="A31" s="51" t="s">
        <v>41</v>
      </c>
      <c r="B31" s="51"/>
      <c r="C31" s="51"/>
    </row>
    <row r="32" spans="1:15" x14ac:dyDescent="0.15">
      <c r="A32" s="51" t="s">
        <v>273</v>
      </c>
      <c r="B32" s="51"/>
      <c r="C32" s="51"/>
    </row>
    <row r="33" spans="1:15" x14ac:dyDescent="0.15">
      <c r="A33" s="64" t="s">
        <v>274</v>
      </c>
      <c r="B33" s="64"/>
      <c r="C33" s="64"/>
      <c r="D33" s="64"/>
      <c r="E33" s="64"/>
      <c r="F33" s="64"/>
      <c r="G33" s="64"/>
      <c r="H33" s="64"/>
      <c r="I33" s="64"/>
      <c r="J33" s="64"/>
      <c r="K33" s="64"/>
      <c r="L33" s="64"/>
      <c r="M33" s="64"/>
      <c r="N33" s="64"/>
      <c r="O33" s="64"/>
    </row>
    <row r="34" spans="1:15" x14ac:dyDescent="0.15">
      <c r="A34" s="64"/>
      <c r="B34" s="64"/>
      <c r="C34" s="64"/>
      <c r="D34" s="64"/>
      <c r="E34" s="64"/>
      <c r="F34" s="64"/>
      <c r="G34" s="64"/>
      <c r="H34" s="64"/>
      <c r="I34" s="64"/>
      <c r="J34" s="64"/>
      <c r="K34" s="64"/>
      <c r="L34" s="64"/>
      <c r="M34" s="64"/>
      <c r="N34" s="64"/>
      <c r="O34" s="64"/>
    </row>
    <row r="35" spans="1:15" x14ac:dyDescent="0.15">
      <c r="A35" s="51" t="s">
        <v>45</v>
      </c>
      <c r="B35" s="51"/>
      <c r="C35" s="51"/>
    </row>
    <row r="36" spans="1:15" x14ac:dyDescent="0.15">
      <c r="A36" s="64" t="s">
        <v>275</v>
      </c>
      <c r="B36" s="64"/>
      <c r="C36" s="64"/>
      <c r="D36" s="64"/>
      <c r="E36" s="64"/>
      <c r="F36" s="64"/>
      <c r="G36" s="64"/>
      <c r="H36" s="64"/>
      <c r="I36" s="64"/>
      <c r="J36" s="64"/>
      <c r="K36" s="64"/>
      <c r="L36" s="64"/>
      <c r="M36" s="64"/>
      <c r="N36" s="64"/>
      <c r="O36" s="64"/>
    </row>
    <row r="37" spans="1:15" x14ac:dyDescent="0.15">
      <c r="A37" s="64"/>
      <c r="B37" s="64"/>
      <c r="C37" s="64"/>
      <c r="D37" s="64"/>
      <c r="E37" s="64"/>
      <c r="F37" s="64"/>
      <c r="G37" s="64"/>
      <c r="H37" s="64"/>
      <c r="I37" s="64"/>
      <c r="J37" s="64"/>
      <c r="K37" s="64"/>
      <c r="L37" s="64"/>
      <c r="M37" s="64"/>
      <c r="N37" s="64"/>
      <c r="O37" s="64"/>
    </row>
    <row r="38" spans="1:15" x14ac:dyDescent="0.15">
      <c r="A38" s="61" t="str">
        <f ca="1">HYPERLINK("#"&amp;CELL("address", Contents!A15), "Back to Table of Contents")</f>
        <v>Back to Table of Contents</v>
      </c>
      <c r="B38" s="61"/>
      <c r="C38" s="61"/>
    </row>
    <row r="40" spans="1:15" x14ac:dyDescent="0.15">
      <c r="A40" s="25" t="s">
        <v>7</v>
      </c>
    </row>
    <row r="41" spans="1:15" x14ac:dyDescent="0.15">
      <c r="A41" s="65" t="s">
        <v>276</v>
      </c>
      <c r="B41" s="65"/>
      <c r="C41" s="65"/>
      <c r="O41" s="18" t="s">
        <v>171</v>
      </c>
    </row>
    <row r="43" spans="1:15" x14ac:dyDescent="0.15">
      <c r="A43" s="51" t="s">
        <v>2</v>
      </c>
      <c r="B43" s="51"/>
      <c r="D43" s="13">
        <v>2023</v>
      </c>
      <c r="E43" s="13">
        <v>2024</v>
      </c>
      <c r="F43" s="13">
        <v>2025</v>
      </c>
      <c r="G43" s="13">
        <v>2026</v>
      </c>
      <c r="H43" s="13">
        <v>2027</v>
      </c>
      <c r="I43" s="13">
        <v>2028</v>
      </c>
      <c r="J43" s="13">
        <v>2029</v>
      </c>
      <c r="K43" s="13">
        <v>2030</v>
      </c>
      <c r="L43" s="13">
        <v>2031</v>
      </c>
      <c r="M43" s="13">
        <v>2032</v>
      </c>
      <c r="N43" s="13" t="s">
        <v>3</v>
      </c>
      <c r="O43" s="13" t="s">
        <v>4</v>
      </c>
    </row>
    <row r="45" spans="1:15" x14ac:dyDescent="0.15">
      <c r="D45" s="66" t="s">
        <v>277</v>
      </c>
      <c r="E45" s="66"/>
      <c r="F45" s="66"/>
      <c r="G45" s="66"/>
      <c r="H45" s="66"/>
      <c r="I45" s="66"/>
      <c r="J45" s="66"/>
      <c r="K45" s="66"/>
      <c r="L45" s="66"/>
      <c r="M45" s="66"/>
      <c r="N45" s="66"/>
      <c r="O45" s="66"/>
    </row>
    <row r="46" spans="1:15" x14ac:dyDescent="0.15">
      <c r="A46" s="66" t="s">
        <v>5</v>
      </c>
      <c r="B46" s="66"/>
      <c r="D46" s="13">
        <v>0</v>
      </c>
      <c r="E46" s="13">
        <v>-2</v>
      </c>
      <c r="F46" s="13">
        <v>-3</v>
      </c>
      <c r="G46" s="13">
        <v>-4</v>
      </c>
      <c r="H46" s="13">
        <v>-5</v>
      </c>
      <c r="I46" s="13">
        <v>-5</v>
      </c>
      <c r="J46" s="13">
        <v>-5</v>
      </c>
      <c r="K46" s="13">
        <v>-6</v>
      </c>
      <c r="L46" s="13">
        <v>-6</v>
      </c>
      <c r="M46" s="13">
        <v>-6</v>
      </c>
      <c r="N46" s="13">
        <v>-14</v>
      </c>
      <c r="O46" s="13">
        <v>-42</v>
      </c>
    </row>
    <row r="47" spans="1:15" ht="15" x14ac:dyDescent="0.15">
      <c r="A47" s="51" t="s">
        <v>354</v>
      </c>
      <c r="B47" s="51"/>
      <c r="C47" s="51"/>
      <c r="D47" s="13">
        <v>0</v>
      </c>
      <c r="E47" s="13" t="s">
        <v>33</v>
      </c>
      <c r="F47" s="13" t="s">
        <v>33</v>
      </c>
      <c r="G47" s="13" t="s">
        <v>33</v>
      </c>
      <c r="H47" s="13" t="s">
        <v>33</v>
      </c>
      <c r="I47" s="13" t="s">
        <v>33</v>
      </c>
      <c r="J47" s="13" t="s">
        <v>33</v>
      </c>
      <c r="K47" s="13" t="s">
        <v>33</v>
      </c>
      <c r="L47" s="13" t="s">
        <v>33</v>
      </c>
      <c r="M47" s="13" t="s">
        <v>33</v>
      </c>
      <c r="N47" s="13" t="s">
        <v>33</v>
      </c>
      <c r="O47" s="13">
        <v>-1</v>
      </c>
    </row>
    <row r="48" spans="1:15" x14ac:dyDescent="0.15">
      <c r="B48" s="51" t="s">
        <v>117</v>
      </c>
      <c r="C48" s="51"/>
      <c r="D48" s="13">
        <v>0</v>
      </c>
      <c r="E48" s="13">
        <v>-2</v>
      </c>
      <c r="F48" s="13">
        <v>-3</v>
      </c>
      <c r="G48" s="13">
        <v>-4</v>
      </c>
      <c r="H48" s="13">
        <v>-5</v>
      </c>
      <c r="I48" s="13">
        <v>-5</v>
      </c>
      <c r="J48" s="13">
        <v>-5</v>
      </c>
      <c r="K48" s="13">
        <v>-6</v>
      </c>
      <c r="L48" s="13">
        <v>-6</v>
      </c>
      <c r="M48" s="13">
        <v>-6</v>
      </c>
      <c r="N48" s="13">
        <v>-14</v>
      </c>
      <c r="O48" s="13">
        <v>-41</v>
      </c>
    </row>
    <row r="49" spans="1:15" x14ac:dyDescent="0.15">
      <c r="D49" s="66" t="s">
        <v>278</v>
      </c>
      <c r="E49" s="66"/>
      <c r="F49" s="66"/>
      <c r="G49" s="66"/>
      <c r="H49" s="66"/>
      <c r="I49" s="66"/>
      <c r="J49" s="66"/>
      <c r="K49" s="66"/>
      <c r="L49" s="66"/>
      <c r="M49" s="66"/>
      <c r="N49" s="66"/>
      <c r="O49" s="66"/>
    </row>
    <row r="50" spans="1:15" x14ac:dyDescent="0.15">
      <c r="A50" s="51" t="s">
        <v>5</v>
      </c>
      <c r="B50" s="51"/>
      <c r="D50" s="13">
        <v>0</v>
      </c>
      <c r="E50" s="13">
        <v>-11</v>
      </c>
      <c r="F50" s="13">
        <v>-14</v>
      </c>
      <c r="G50" s="13">
        <v>-17</v>
      </c>
      <c r="H50" s="13">
        <v>-21</v>
      </c>
      <c r="I50" s="13">
        <v>-25</v>
      </c>
      <c r="J50" s="13">
        <v>-30</v>
      </c>
      <c r="K50" s="13">
        <v>-31</v>
      </c>
      <c r="L50" s="13">
        <v>-32</v>
      </c>
      <c r="M50" s="13">
        <v>-34</v>
      </c>
      <c r="N50" s="13">
        <v>-63</v>
      </c>
      <c r="O50" s="13">
        <v>-215</v>
      </c>
    </row>
    <row r="51" spans="1:15" ht="15" x14ac:dyDescent="0.15">
      <c r="A51" s="51" t="s">
        <v>354</v>
      </c>
      <c r="B51" s="51"/>
      <c r="C51" s="51"/>
      <c r="D51" s="13">
        <v>0</v>
      </c>
      <c r="E51" s="13" t="s">
        <v>33</v>
      </c>
      <c r="F51" s="13" t="s">
        <v>33</v>
      </c>
      <c r="G51" s="13" t="s">
        <v>33</v>
      </c>
      <c r="H51" s="13">
        <v>-1</v>
      </c>
      <c r="I51" s="13">
        <v>-1</v>
      </c>
      <c r="J51" s="13">
        <v>-1</v>
      </c>
      <c r="K51" s="13">
        <v>-1</v>
      </c>
      <c r="L51" s="13">
        <v>-1</v>
      </c>
      <c r="M51" s="13">
        <v>-1</v>
      </c>
      <c r="N51" s="13">
        <v>-2</v>
      </c>
      <c r="O51" s="13">
        <v>-6</v>
      </c>
    </row>
    <row r="52" spans="1:15" x14ac:dyDescent="0.15">
      <c r="B52" s="51" t="s">
        <v>117</v>
      </c>
      <c r="C52" s="51"/>
      <c r="D52" s="13">
        <v>0</v>
      </c>
      <c r="E52" s="13">
        <v>-11</v>
      </c>
      <c r="F52" s="13">
        <v>-14</v>
      </c>
      <c r="G52" s="13">
        <v>-17</v>
      </c>
      <c r="H52" s="13">
        <v>-20</v>
      </c>
      <c r="I52" s="13">
        <v>-24</v>
      </c>
      <c r="J52" s="13">
        <v>-29</v>
      </c>
      <c r="K52" s="13">
        <v>-30</v>
      </c>
      <c r="L52" s="13">
        <v>-31</v>
      </c>
      <c r="M52" s="13">
        <v>-33</v>
      </c>
      <c r="N52" s="13">
        <v>-61</v>
      </c>
      <c r="O52" s="13">
        <v>-209</v>
      </c>
    </row>
    <row r="53" spans="1:15" x14ac:dyDescent="0.15">
      <c r="D53" s="66" t="s">
        <v>279</v>
      </c>
      <c r="E53" s="66"/>
      <c r="F53" s="66"/>
      <c r="G53" s="66"/>
      <c r="H53" s="66"/>
      <c r="I53" s="66"/>
      <c r="J53" s="66"/>
      <c r="K53" s="66"/>
      <c r="L53" s="66"/>
      <c r="M53" s="66"/>
      <c r="N53" s="66"/>
      <c r="O53" s="66"/>
    </row>
    <row r="54" spans="1:15" x14ac:dyDescent="0.15">
      <c r="A54" s="51" t="s">
        <v>5</v>
      </c>
      <c r="B54" s="51"/>
      <c r="D54" s="13">
        <v>0</v>
      </c>
      <c r="E54" s="13">
        <v>-28</v>
      </c>
      <c r="F54" s="13">
        <v>-35</v>
      </c>
      <c r="G54" s="13">
        <v>-44</v>
      </c>
      <c r="H54" s="13">
        <v>-53</v>
      </c>
      <c r="I54" s="13">
        <v>-63</v>
      </c>
      <c r="J54" s="13">
        <v>-74</v>
      </c>
      <c r="K54" s="13">
        <v>-78</v>
      </c>
      <c r="L54" s="13">
        <v>-82</v>
      </c>
      <c r="M54" s="13">
        <v>-86</v>
      </c>
      <c r="N54" s="13">
        <v>-160</v>
      </c>
      <c r="O54" s="13">
        <v>-542</v>
      </c>
    </row>
    <row r="55" spans="1:15" ht="15" x14ac:dyDescent="0.15">
      <c r="A55" s="51" t="s">
        <v>354</v>
      </c>
      <c r="B55" s="51"/>
      <c r="C55" s="51"/>
      <c r="D55" s="13">
        <v>0</v>
      </c>
      <c r="E55" s="13">
        <v>-1</v>
      </c>
      <c r="F55" s="13">
        <v>-1</v>
      </c>
      <c r="G55" s="13">
        <v>-1</v>
      </c>
      <c r="H55" s="13">
        <v>-2</v>
      </c>
      <c r="I55" s="13">
        <v>-2</v>
      </c>
      <c r="J55" s="13">
        <v>-2</v>
      </c>
      <c r="K55" s="13">
        <v>-2</v>
      </c>
      <c r="L55" s="13">
        <v>-2</v>
      </c>
      <c r="M55" s="13">
        <v>-3</v>
      </c>
      <c r="N55" s="13">
        <v>-5</v>
      </c>
      <c r="O55" s="13">
        <v>-16</v>
      </c>
    </row>
    <row r="56" spans="1:15" x14ac:dyDescent="0.15">
      <c r="B56" s="51" t="s">
        <v>117</v>
      </c>
      <c r="C56" s="51"/>
      <c r="D56" s="13">
        <v>0</v>
      </c>
      <c r="E56" s="13">
        <v>-27</v>
      </c>
      <c r="F56" s="13">
        <v>-34</v>
      </c>
      <c r="G56" s="13">
        <v>-43</v>
      </c>
      <c r="H56" s="13">
        <v>-51</v>
      </c>
      <c r="I56" s="13">
        <v>-61</v>
      </c>
      <c r="J56" s="13">
        <v>-72</v>
      </c>
      <c r="K56" s="13">
        <v>-76</v>
      </c>
      <c r="L56" s="13">
        <v>-80</v>
      </c>
      <c r="M56" s="13">
        <v>-83</v>
      </c>
      <c r="N56" s="13">
        <v>-155</v>
      </c>
      <c r="O56" s="13">
        <v>-526</v>
      </c>
    </row>
    <row r="59" spans="1:15" x14ac:dyDescent="0.15">
      <c r="A59" s="51" t="s">
        <v>41</v>
      </c>
      <c r="B59" s="51"/>
      <c r="C59" s="51"/>
    </row>
    <row r="60" spans="1:15" x14ac:dyDescent="0.15">
      <c r="A60" s="51" t="s">
        <v>6</v>
      </c>
      <c r="B60" s="51"/>
      <c r="C60" s="51"/>
    </row>
    <row r="61" spans="1:15" x14ac:dyDescent="0.15">
      <c r="A61" s="51" t="s">
        <v>280</v>
      </c>
      <c r="B61" s="51"/>
      <c r="C61" s="51"/>
    </row>
    <row r="62" spans="1:15" x14ac:dyDescent="0.15">
      <c r="A62" s="51" t="s">
        <v>281</v>
      </c>
      <c r="B62" s="51"/>
      <c r="C62" s="51"/>
    </row>
    <row r="63" spans="1:15" x14ac:dyDescent="0.15">
      <c r="A63" s="61" t="str">
        <f ca="1">HYPERLINK("#"&amp;CELL("address", Contents!A16), "Back to Table of Contents")</f>
        <v>Back to Table of Contents</v>
      </c>
      <c r="B63" s="61"/>
      <c r="C63" s="61"/>
    </row>
    <row r="65" spans="1:15" x14ac:dyDescent="0.15">
      <c r="A65" s="14" t="s">
        <v>17</v>
      </c>
    </row>
    <row r="66" spans="1:15" x14ac:dyDescent="0.15">
      <c r="A66" s="65" t="s">
        <v>282</v>
      </c>
      <c r="B66" s="65"/>
      <c r="C66" s="65"/>
      <c r="O66" s="18" t="s">
        <v>171</v>
      </c>
    </row>
    <row r="68" spans="1:15" x14ac:dyDescent="0.15">
      <c r="A68" s="51" t="s">
        <v>2</v>
      </c>
      <c r="B68" s="51"/>
      <c r="D68" s="13">
        <v>2023</v>
      </c>
      <c r="E68" s="13">
        <v>2024</v>
      </c>
      <c r="F68" s="13">
        <v>2025</v>
      </c>
      <c r="G68" s="13">
        <v>2026</v>
      </c>
      <c r="H68" s="13">
        <v>2027</v>
      </c>
      <c r="I68" s="13">
        <v>2028</v>
      </c>
      <c r="J68" s="13">
        <v>2029</v>
      </c>
      <c r="K68" s="13">
        <v>2030</v>
      </c>
      <c r="L68" s="13">
        <v>2031</v>
      </c>
      <c r="M68" s="13">
        <v>2032</v>
      </c>
      <c r="N68" s="13" t="s">
        <v>3</v>
      </c>
      <c r="O68" s="13" t="s">
        <v>4</v>
      </c>
    </row>
    <row r="70" spans="1:15" x14ac:dyDescent="0.15">
      <c r="D70" s="66" t="s">
        <v>283</v>
      </c>
      <c r="E70" s="66"/>
      <c r="F70" s="66"/>
      <c r="G70" s="66"/>
      <c r="H70" s="66"/>
      <c r="I70" s="66"/>
      <c r="J70" s="66"/>
      <c r="K70" s="66"/>
      <c r="L70" s="66"/>
      <c r="M70" s="66"/>
      <c r="N70" s="66"/>
      <c r="O70" s="66"/>
    </row>
    <row r="71" spans="1:15" x14ac:dyDescent="0.15">
      <c r="A71" s="51" t="s">
        <v>5</v>
      </c>
      <c r="B71" s="51"/>
      <c r="D71" s="13">
        <v>0</v>
      </c>
      <c r="E71" s="13">
        <v>-7</v>
      </c>
      <c r="F71" s="13">
        <v>-7</v>
      </c>
      <c r="G71" s="13">
        <v>-7</v>
      </c>
      <c r="H71" s="13">
        <v>-7</v>
      </c>
      <c r="I71" s="13">
        <v>-7</v>
      </c>
      <c r="J71" s="13">
        <v>-8</v>
      </c>
      <c r="K71" s="13">
        <v>-8</v>
      </c>
      <c r="L71" s="13">
        <v>-8</v>
      </c>
      <c r="M71" s="13">
        <v>-9</v>
      </c>
      <c r="N71" s="13">
        <v>-28</v>
      </c>
      <c r="O71" s="13">
        <v>-68</v>
      </c>
    </row>
    <row r="72" spans="1:15" x14ac:dyDescent="0.15">
      <c r="D72" s="66" t="s">
        <v>284</v>
      </c>
      <c r="E72" s="66"/>
      <c r="F72" s="66"/>
      <c r="G72" s="66"/>
      <c r="H72" s="66"/>
      <c r="I72" s="66"/>
      <c r="J72" s="66"/>
      <c r="K72" s="66"/>
      <c r="L72" s="66"/>
      <c r="M72" s="66"/>
      <c r="N72" s="66"/>
      <c r="O72" s="66"/>
    </row>
    <row r="73" spans="1:15" x14ac:dyDescent="0.15">
      <c r="A73" s="51" t="s">
        <v>5</v>
      </c>
      <c r="B73" s="51"/>
      <c r="D73" s="13">
        <v>0</v>
      </c>
      <c r="E73" s="13">
        <v>-63</v>
      </c>
      <c r="F73" s="13">
        <v>-63</v>
      </c>
      <c r="G73" s="13">
        <v>-67</v>
      </c>
      <c r="H73" s="13">
        <v>-70</v>
      </c>
      <c r="I73" s="13">
        <v>-73</v>
      </c>
      <c r="J73" s="13">
        <v>-77</v>
      </c>
      <c r="K73" s="13">
        <v>-80</v>
      </c>
      <c r="L73" s="13">
        <v>-85</v>
      </c>
      <c r="M73" s="13">
        <v>-89</v>
      </c>
      <c r="N73" s="13">
        <v>-263</v>
      </c>
      <c r="O73" s="13">
        <v>-667</v>
      </c>
    </row>
    <row r="74" spans="1:15" x14ac:dyDescent="0.15">
      <c r="D74" s="66" t="s">
        <v>285</v>
      </c>
      <c r="E74" s="66"/>
      <c r="F74" s="66"/>
      <c r="G74" s="66"/>
      <c r="H74" s="66"/>
      <c r="I74" s="66"/>
      <c r="J74" s="66"/>
      <c r="K74" s="66"/>
      <c r="L74" s="66"/>
      <c r="M74" s="66"/>
      <c r="N74" s="66"/>
      <c r="O74" s="66"/>
    </row>
    <row r="75" spans="1:15" x14ac:dyDescent="0.15">
      <c r="A75" s="51" t="s">
        <v>5</v>
      </c>
      <c r="B75" s="51"/>
      <c r="D75" s="13">
        <v>0</v>
      </c>
      <c r="E75" s="13">
        <v>-45</v>
      </c>
      <c r="F75" s="13">
        <v>-50</v>
      </c>
      <c r="G75" s="13">
        <v>-61</v>
      </c>
      <c r="H75" s="13">
        <v>-66</v>
      </c>
      <c r="I75" s="13">
        <v>-71</v>
      </c>
      <c r="J75" s="13">
        <v>-76</v>
      </c>
      <c r="K75" s="13">
        <v>-81</v>
      </c>
      <c r="L75" s="13">
        <v>-87</v>
      </c>
      <c r="M75" s="13">
        <v>-94</v>
      </c>
      <c r="N75" s="13">
        <v>-222</v>
      </c>
      <c r="O75" s="13">
        <v>-631</v>
      </c>
    </row>
    <row r="76" spans="1:15" ht="15" x14ac:dyDescent="0.15">
      <c r="A76" s="51" t="s">
        <v>354</v>
      </c>
      <c r="B76" s="51"/>
      <c r="C76" s="51"/>
      <c r="D76" s="13">
        <v>0</v>
      </c>
      <c r="E76" s="13">
        <v>-1</v>
      </c>
      <c r="F76" s="13">
        <v>-2</v>
      </c>
      <c r="G76" s="13">
        <v>-3</v>
      </c>
      <c r="H76" s="13">
        <v>-3</v>
      </c>
      <c r="I76" s="13">
        <v>-3</v>
      </c>
      <c r="J76" s="13">
        <v>-3</v>
      </c>
      <c r="K76" s="13">
        <v>-4</v>
      </c>
      <c r="L76" s="13">
        <v>-4</v>
      </c>
      <c r="M76" s="13">
        <v>-4</v>
      </c>
      <c r="N76" s="13">
        <v>-9</v>
      </c>
      <c r="O76" s="13">
        <v>-27</v>
      </c>
    </row>
    <row r="77" spans="1:15" x14ac:dyDescent="0.15">
      <c r="B77" s="51" t="s">
        <v>117</v>
      </c>
      <c r="C77" s="51"/>
      <c r="D77" s="13">
        <v>0</v>
      </c>
      <c r="E77" s="13">
        <v>-44</v>
      </c>
      <c r="F77" s="13">
        <v>-48</v>
      </c>
      <c r="G77" s="13">
        <v>-58</v>
      </c>
      <c r="H77" s="13">
        <v>-63</v>
      </c>
      <c r="I77" s="13">
        <v>-68</v>
      </c>
      <c r="J77" s="13">
        <v>-73</v>
      </c>
      <c r="K77" s="13">
        <v>-77</v>
      </c>
      <c r="L77" s="13">
        <v>-83</v>
      </c>
      <c r="M77" s="13">
        <v>-90</v>
      </c>
      <c r="N77" s="13">
        <v>-213</v>
      </c>
      <c r="O77" s="13">
        <v>-604</v>
      </c>
    </row>
    <row r="80" spans="1:15" x14ac:dyDescent="0.15">
      <c r="A80" s="51" t="s">
        <v>41</v>
      </c>
      <c r="B80" s="51"/>
      <c r="C80" s="51"/>
    </row>
    <row r="81" spans="1:15" x14ac:dyDescent="0.15">
      <c r="A81" s="51" t="s">
        <v>6</v>
      </c>
      <c r="B81" s="51"/>
      <c r="C81" s="51"/>
    </row>
    <row r="82" spans="1:15" x14ac:dyDescent="0.15">
      <c r="A82" s="51" t="s">
        <v>286</v>
      </c>
      <c r="B82" s="51"/>
      <c r="C82" s="51"/>
    </row>
    <row r="83" spans="1:15" x14ac:dyDescent="0.15">
      <c r="A83" s="51" t="s">
        <v>281</v>
      </c>
      <c r="B83" s="51"/>
      <c r="C83" s="51"/>
    </row>
    <row r="84" spans="1:15" x14ac:dyDescent="0.15">
      <c r="A84" s="61" t="str">
        <f ca="1">HYPERLINK("#"&amp;CELL("address", Contents!A17), "Back to Table of Contents")</f>
        <v>Back to Table of Contents</v>
      </c>
      <c r="B84" s="61"/>
      <c r="C84" s="61"/>
    </row>
    <row r="86" spans="1:15" x14ac:dyDescent="0.15">
      <c r="A86" s="14" t="s">
        <v>20</v>
      </c>
    </row>
    <row r="87" spans="1:15" x14ac:dyDescent="0.15">
      <c r="A87" s="65" t="s">
        <v>287</v>
      </c>
      <c r="B87" s="65"/>
      <c r="C87" s="65"/>
      <c r="O87" s="18" t="s">
        <v>174</v>
      </c>
    </row>
    <row r="89" spans="1:15" x14ac:dyDescent="0.15">
      <c r="A89" s="51" t="s">
        <v>2</v>
      </c>
      <c r="B89" s="51"/>
      <c r="D89" s="13">
        <v>2023</v>
      </c>
      <c r="E89" s="13">
        <v>2024</v>
      </c>
      <c r="F89" s="13">
        <v>2025</v>
      </c>
      <c r="G89" s="13">
        <v>2026</v>
      </c>
      <c r="H89" s="13">
        <v>2027</v>
      </c>
      <c r="I89" s="13">
        <v>2028</v>
      </c>
      <c r="J89" s="13">
        <v>2029</v>
      </c>
      <c r="K89" s="13">
        <v>2030</v>
      </c>
      <c r="L89" s="13">
        <v>2031</v>
      </c>
      <c r="M89" s="13">
        <v>2032</v>
      </c>
      <c r="N89" s="13" t="s">
        <v>3</v>
      </c>
      <c r="O89" s="13" t="s">
        <v>4</v>
      </c>
    </row>
    <row r="91" spans="1:15" x14ac:dyDescent="0.15">
      <c r="A91" s="51" t="s">
        <v>5</v>
      </c>
      <c r="B91" s="51"/>
    </row>
    <row r="92" spans="1:15" x14ac:dyDescent="0.15">
      <c r="B92" s="51" t="s">
        <v>288</v>
      </c>
      <c r="C92" s="51"/>
      <c r="D92" s="13">
        <v>0</v>
      </c>
      <c r="E92" s="13">
        <v>-8</v>
      </c>
      <c r="F92" s="13">
        <v>-18</v>
      </c>
      <c r="G92" s="13">
        <v>-29</v>
      </c>
      <c r="H92" s="13">
        <v>-41</v>
      </c>
      <c r="I92" s="13">
        <v>-54</v>
      </c>
      <c r="J92" s="13">
        <v>-57</v>
      </c>
      <c r="K92" s="13">
        <v>-61</v>
      </c>
      <c r="L92" s="13">
        <v>-66</v>
      </c>
      <c r="M92" s="13">
        <v>-72</v>
      </c>
      <c r="N92" s="13">
        <v>-95</v>
      </c>
      <c r="O92" s="13">
        <v>-406</v>
      </c>
    </row>
    <row r="93" spans="1:15" x14ac:dyDescent="0.15">
      <c r="B93" s="51" t="s">
        <v>289</v>
      </c>
      <c r="C93" s="51"/>
      <c r="D93" s="13">
        <v>0</v>
      </c>
      <c r="E93" s="13">
        <v>-1</v>
      </c>
      <c r="F93" s="13">
        <v>-1</v>
      </c>
      <c r="G93" s="13">
        <v>-2</v>
      </c>
      <c r="H93" s="13">
        <v>-4</v>
      </c>
      <c r="I93" s="13">
        <v>-5</v>
      </c>
      <c r="J93" s="13">
        <v>-7</v>
      </c>
      <c r="K93" s="13">
        <v>-9</v>
      </c>
      <c r="L93" s="13">
        <v>-12</v>
      </c>
      <c r="M93" s="13">
        <v>-16</v>
      </c>
      <c r="N93" s="13">
        <v>-8</v>
      </c>
      <c r="O93" s="13">
        <v>-57</v>
      </c>
    </row>
    <row r="94" spans="1:15" x14ac:dyDescent="0.15">
      <c r="B94" s="51" t="s">
        <v>290</v>
      </c>
      <c r="C94" s="51"/>
      <c r="D94" s="13">
        <v>0</v>
      </c>
      <c r="E94" s="13">
        <v>-9</v>
      </c>
      <c r="F94" s="13">
        <v>-19</v>
      </c>
      <c r="G94" s="13">
        <v>-31</v>
      </c>
      <c r="H94" s="13">
        <v>-44</v>
      </c>
      <c r="I94" s="13">
        <v>-58</v>
      </c>
      <c r="J94" s="13">
        <v>-62</v>
      </c>
      <c r="K94" s="13">
        <v>-68</v>
      </c>
      <c r="L94" s="13">
        <v>-75</v>
      </c>
      <c r="M94" s="13">
        <v>-83</v>
      </c>
      <c r="N94" s="13">
        <v>-102</v>
      </c>
      <c r="O94" s="13">
        <v>-448</v>
      </c>
    </row>
    <row r="97" spans="1:15" x14ac:dyDescent="0.15">
      <c r="A97" s="51" t="s">
        <v>90</v>
      </c>
      <c r="B97" s="51"/>
      <c r="C97" s="51"/>
    </row>
    <row r="98" spans="1:15" x14ac:dyDescent="0.15">
      <c r="A98" s="61" t="str">
        <f ca="1">HYPERLINK("#"&amp;CELL("address", Contents!A18), "Back to Table of Contents")</f>
        <v>Back to Table of Contents</v>
      </c>
      <c r="B98" s="61"/>
      <c r="C98" s="61"/>
    </row>
    <row r="100" spans="1:15" x14ac:dyDescent="0.15">
      <c r="A100" s="14" t="s">
        <v>27</v>
      </c>
    </row>
    <row r="101" spans="1:15" x14ac:dyDescent="0.15">
      <c r="A101" s="65" t="s">
        <v>291</v>
      </c>
      <c r="B101" s="65"/>
      <c r="C101" s="65"/>
      <c r="O101" s="18" t="s">
        <v>174</v>
      </c>
    </row>
    <row r="103" spans="1:15" x14ac:dyDescent="0.15">
      <c r="A103" s="51" t="s">
        <v>2</v>
      </c>
      <c r="B103" s="51"/>
      <c r="D103" s="13">
        <v>2023</v>
      </c>
      <c r="E103" s="13">
        <v>2024</v>
      </c>
      <c r="F103" s="13">
        <v>2025</v>
      </c>
      <c r="G103" s="13">
        <v>2026</v>
      </c>
      <c r="H103" s="13">
        <v>2027</v>
      </c>
      <c r="I103" s="13">
        <v>2028</v>
      </c>
      <c r="J103" s="13">
        <v>2029</v>
      </c>
      <c r="K103" s="13">
        <v>2030</v>
      </c>
      <c r="L103" s="13">
        <v>2031</v>
      </c>
      <c r="M103" s="13">
        <v>2032</v>
      </c>
      <c r="N103" s="13" t="s">
        <v>3</v>
      </c>
      <c r="O103" s="13" t="s">
        <v>4</v>
      </c>
    </row>
    <row r="105" spans="1:15" x14ac:dyDescent="0.15">
      <c r="A105" s="51" t="s">
        <v>5</v>
      </c>
      <c r="B105" s="51"/>
      <c r="D105" s="13">
        <v>0</v>
      </c>
      <c r="E105" s="13">
        <v>0</v>
      </c>
      <c r="F105" s="13">
        <v>-15</v>
      </c>
      <c r="G105" s="13">
        <v>-37</v>
      </c>
      <c r="H105" s="13">
        <v>-47</v>
      </c>
      <c r="I105" s="13">
        <v>-56</v>
      </c>
      <c r="J105" s="13">
        <v>-48</v>
      </c>
      <c r="K105" s="13">
        <v>-58</v>
      </c>
      <c r="L105" s="13">
        <v>-63</v>
      </c>
      <c r="M105" s="13">
        <v>-68</v>
      </c>
      <c r="N105" s="13">
        <v>-99</v>
      </c>
      <c r="O105" s="13">
        <v>-392</v>
      </c>
    </row>
    <row r="108" spans="1:15" x14ac:dyDescent="0.15">
      <c r="A108" s="51" t="s">
        <v>42</v>
      </c>
      <c r="B108" s="51"/>
      <c r="C108" s="51"/>
    </row>
    <row r="109" spans="1:15" x14ac:dyDescent="0.15">
      <c r="A109" s="61" t="str">
        <f ca="1">HYPERLINK("#"&amp;CELL("address", Contents!A19), "Back to Table of Contents")</f>
        <v>Back to Table of Contents</v>
      </c>
      <c r="B109" s="61"/>
      <c r="C109" s="61"/>
    </row>
    <row r="111" spans="1:15" x14ac:dyDescent="0.15">
      <c r="A111" s="14" t="s">
        <v>37</v>
      </c>
    </row>
    <row r="112" spans="1:15" x14ac:dyDescent="0.15">
      <c r="A112" s="14" t="s">
        <v>292</v>
      </c>
      <c r="O112" s="18" t="s">
        <v>171</v>
      </c>
    </row>
    <row r="114" spans="1:15" x14ac:dyDescent="0.15">
      <c r="A114" s="51" t="s">
        <v>2</v>
      </c>
      <c r="B114" s="51"/>
      <c r="D114" s="13">
        <v>2023</v>
      </c>
      <c r="E114" s="13">
        <v>2024</v>
      </c>
      <c r="F114" s="13">
        <v>2025</v>
      </c>
      <c r="G114" s="13">
        <v>2026</v>
      </c>
      <c r="H114" s="13">
        <v>2027</v>
      </c>
      <c r="I114" s="13">
        <v>2028</v>
      </c>
      <c r="J114" s="13">
        <v>2029</v>
      </c>
      <c r="K114" s="13">
        <v>2030</v>
      </c>
      <c r="L114" s="13">
        <v>2031</v>
      </c>
      <c r="M114" s="13">
        <v>2032</v>
      </c>
      <c r="N114" s="13" t="s">
        <v>3</v>
      </c>
      <c r="O114" s="13" t="s">
        <v>4</v>
      </c>
    </row>
    <row r="116" spans="1:15" x14ac:dyDescent="0.15">
      <c r="D116" s="66" t="s">
        <v>293</v>
      </c>
      <c r="E116" s="66"/>
      <c r="F116" s="66"/>
      <c r="G116" s="66"/>
      <c r="H116" s="66"/>
      <c r="I116" s="66"/>
      <c r="J116" s="66"/>
      <c r="K116" s="66"/>
      <c r="L116" s="66"/>
      <c r="M116" s="66"/>
      <c r="N116" s="66"/>
      <c r="O116" s="66"/>
    </row>
    <row r="117" spans="1:15" x14ac:dyDescent="0.15">
      <c r="A117" s="51" t="s">
        <v>29</v>
      </c>
      <c r="B117" s="51"/>
      <c r="C117" s="51"/>
      <c r="D117" s="13">
        <v>0</v>
      </c>
      <c r="E117" s="13">
        <v>0</v>
      </c>
      <c r="F117" s="13">
        <v>0</v>
      </c>
      <c r="G117" s="17">
        <v>1</v>
      </c>
      <c r="H117" s="17">
        <v>1.8</v>
      </c>
      <c r="I117" s="17">
        <v>2.2999999999999998</v>
      </c>
      <c r="J117" s="17">
        <v>2.6</v>
      </c>
      <c r="K117" s="17">
        <v>3.4</v>
      </c>
      <c r="L117" s="17">
        <v>3.3</v>
      </c>
      <c r="M117" s="17">
        <v>4.0999999999999996</v>
      </c>
      <c r="N117" s="17">
        <v>2.8</v>
      </c>
      <c r="O117" s="17">
        <v>18.399999999999999</v>
      </c>
    </row>
    <row r="118" spans="1:15" ht="15" x14ac:dyDescent="0.15">
      <c r="A118" s="51" t="s">
        <v>354</v>
      </c>
      <c r="B118" s="51"/>
      <c r="C118" s="51"/>
      <c r="D118" s="13">
        <v>0</v>
      </c>
      <c r="E118" s="13">
        <v>0</v>
      </c>
      <c r="F118" s="13">
        <v>0</v>
      </c>
      <c r="G118" s="17">
        <v>68.2</v>
      </c>
      <c r="H118" s="17">
        <v>104.1</v>
      </c>
      <c r="I118" s="17">
        <v>117.8</v>
      </c>
      <c r="J118" s="17">
        <v>131.80000000000001</v>
      </c>
      <c r="K118" s="17">
        <v>146.6</v>
      </c>
      <c r="L118" s="17">
        <v>162.69999999999999</v>
      </c>
      <c r="M118" s="17">
        <v>180.5</v>
      </c>
      <c r="N118" s="17">
        <v>172.2</v>
      </c>
      <c r="O118" s="17">
        <v>911.6</v>
      </c>
    </row>
    <row r="119" spans="1:15" x14ac:dyDescent="0.15">
      <c r="B119" s="51" t="s">
        <v>117</v>
      </c>
      <c r="C119" s="51"/>
      <c r="D119" s="13">
        <v>0</v>
      </c>
      <c r="E119" s="13">
        <v>0</v>
      </c>
      <c r="F119" s="13">
        <v>0</v>
      </c>
      <c r="G119" s="17">
        <v>-67.2</v>
      </c>
      <c r="H119" s="17">
        <v>-102.3</v>
      </c>
      <c r="I119" s="17">
        <v>-115.5</v>
      </c>
      <c r="J119" s="17">
        <v>-129.1</v>
      </c>
      <c r="K119" s="17">
        <v>-143.19999999999999</v>
      </c>
      <c r="L119" s="17">
        <v>-159.5</v>
      </c>
      <c r="M119" s="17">
        <v>-176.4</v>
      </c>
      <c r="N119" s="17">
        <v>-169.4</v>
      </c>
      <c r="O119" s="17">
        <v>-893.2</v>
      </c>
    </row>
    <row r="120" spans="1:15" x14ac:dyDescent="0.15">
      <c r="D120" s="66" t="s">
        <v>294</v>
      </c>
      <c r="E120" s="66"/>
      <c r="F120" s="66"/>
      <c r="G120" s="66"/>
      <c r="H120" s="66"/>
      <c r="I120" s="66"/>
      <c r="J120" s="66"/>
      <c r="K120" s="66"/>
      <c r="L120" s="66"/>
      <c r="M120" s="66"/>
      <c r="N120" s="66"/>
      <c r="O120" s="66"/>
    </row>
    <row r="121" spans="1:15" x14ac:dyDescent="0.15">
      <c r="A121" s="51" t="s">
        <v>29</v>
      </c>
      <c r="B121" s="51"/>
      <c r="C121" s="51"/>
      <c r="D121" s="13">
        <v>0</v>
      </c>
      <c r="E121" s="13">
        <v>0</v>
      </c>
      <c r="F121" s="13">
        <v>0</v>
      </c>
      <c r="G121" s="17">
        <v>0.6</v>
      </c>
      <c r="H121" s="17">
        <v>1.7</v>
      </c>
      <c r="I121" s="17">
        <v>1.9</v>
      </c>
      <c r="J121" s="17">
        <v>2.1</v>
      </c>
      <c r="K121" s="17">
        <v>2.4</v>
      </c>
      <c r="L121" s="17">
        <v>2.4</v>
      </c>
      <c r="M121" s="17">
        <v>3</v>
      </c>
      <c r="N121" s="17">
        <v>2.2999999999999998</v>
      </c>
      <c r="O121" s="17">
        <v>14</v>
      </c>
    </row>
    <row r="122" spans="1:15" ht="15" x14ac:dyDescent="0.15">
      <c r="A122" s="51" t="s">
        <v>354</v>
      </c>
      <c r="B122" s="51"/>
      <c r="C122" s="51"/>
      <c r="D122" s="13">
        <v>0</v>
      </c>
      <c r="E122" s="13">
        <v>0</v>
      </c>
      <c r="F122" s="13">
        <v>0</v>
      </c>
      <c r="G122" s="17">
        <v>35</v>
      </c>
      <c r="H122" s="17">
        <v>54.7</v>
      </c>
      <c r="I122" s="17">
        <v>63.8</v>
      </c>
      <c r="J122" s="17">
        <v>73.3</v>
      </c>
      <c r="K122" s="17">
        <v>83.599999999999895</v>
      </c>
      <c r="L122" s="17">
        <v>95.2</v>
      </c>
      <c r="M122" s="17">
        <v>108.1</v>
      </c>
      <c r="N122" s="17">
        <v>89.7</v>
      </c>
      <c r="O122" s="17">
        <v>513.70000000000005</v>
      </c>
    </row>
    <row r="123" spans="1:15" x14ac:dyDescent="0.15">
      <c r="B123" s="51" t="s">
        <v>117</v>
      </c>
      <c r="C123" s="51"/>
      <c r="D123" s="13">
        <v>0</v>
      </c>
      <c r="E123" s="13">
        <v>0</v>
      </c>
      <c r="F123" s="13">
        <v>0</v>
      </c>
      <c r="G123" s="17">
        <v>-34.4</v>
      </c>
      <c r="H123" s="17">
        <v>-53</v>
      </c>
      <c r="I123" s="17">
        <v>-61.9</v>
      </c>
      <c r="J123" s="17">
        <v>-71.2</v>
      </c>
      <c r="K123" s="17">
        <v>-81.2</v>
      </c>
      <c r="L123" s="17">
        <v>-92.9</v>
      </c>
      <c r="M123" s="17">
        <v>-105.1</v>
      </c>
      <c r="N123" s="17">
        <v>-87.4</v>
      </c>
      <c r="O123" s="17">
        <v>-499.8</v>
      </c>
    </row>
    <row r="124" spans="1:15" x14ac:dyDescent="0.15">
      <c r="D124" s="66" t="s">
        <v>295</v>
      </c>
      <c r="E124" s="66"/>
      <c r="F124" s="66"/>
      <c r="G124" s="66"/>
      <c r="H124" s="66"/>
      <c r="I124" s="66"/>
      <c r="J124" s="66"/>
      <c r="K124" s="66"/>
      <c r="L124" s="66"/>
      <c r="M124" s="66"/>
      <c r="N124" s="66"/>
      <c r="O124" s="66"/>
    </row>
    <row r="125" spans="1:15" x14ac:dyDescent="0.15">
      <c r="A125" s="51" t="s">
        <v>29</v>
      </c>
      <c r="B125" s="51"/>
      <c r="C125" s="51"/>
      <c r="D125" s="13">
        <v>0</v>
      </c>
      <c r="E125" s="13">
        <v>0</v>
      </c>
      <c r="F125" s="13">
        <v>0</v>
      </c>
      <c r="G125" s="17">
        <v>-0.1</v>
      </c>
      <c r="H125" s="17">
        <v>0.5</v>
      </c>
      <c r="I125" s="17">
        <v>0.7</v>
      </c>
      <c r="J125" s="17">
        <v>0.6</v>
      </c>
      <c r="K125" s="17">
        <v>1.1000000000000001</v>
      </c>
      <c r="L125" s="17">
        <v>1</v>
      </c>
      <c r="M125" s="17">
        <v>1.6</v>
      </c>
      <c r="N125" s="17">
        <v>0.4</v>
      </c>
      <c r="O125" s="17">
        <v>5.4</v>
      </c>
    </row>
    <row r="126" spans="1:15" ht="15" x14ac:dyDescent="0.15">
      <c r="A126" s="51" t="s">
        <v>354</v>
      </c>
      <c r="B126" s="51"/>
      <c r="C126" s="51"/>
      <c r="D126" s="13">
        <v>0</v>
      </c>
      <c r="E126" s="13">
        <v>0</v>
      </c>
      <c r="F126" s="13">
        <v>0</v>
      </c>
      <c r="G126" s="17">
        <v>48.8</v>
      </c>
      <c r="H126" s="17">
        <v>74.599999999999895</v>
      </c>
      <c r="I126" s="17">
        <v>84.599999999999895</v>
      </c>
      <c r="J126" s="17">
        <v>94.9</v>
      </c>
      <c r="K126" s="17">
        <v>105.8</v>
      </c>
      <c r="L126" s="17">
        <v>117.6</v>
      </c>
      <c r="M126" s="17">
        <v>130.4</v>
      </c>
      <c r="N126" s="17">
        <v>123.4</v>
      </c>
      <c r="O126" s="17">
        <v>656.8</v>
      </c>
    </row>
    <row r="127" spans="1:15" x14ac:dyDescent="0.15">
      <c r="B127" s="51" t="s">
        <v>117</v>
      </c>
      <c r="C127" s="51"/>
      <c r="D127" s="13">
        <v>0</v>
      </c>
      <c r="E127" s="13">
        <v>0</v>
      </c>
      <c r="F127" s="13">
        <v>0</v>
      </c>
      <c r="G127" s="17">
        <v>-48.9</v>
      </c>
      <c r="H127" s="17">
        <v>-74.099999999999895</v>
      </c>
      <c r="I127" s="17">
        <v>-84</v>
      </c>
      <c r="J127" s="17">
        <v>-94.3</v>
      </c>
      <c r="K127" s="17">
        <v>-104.7</v>
      </c>
      <c r="L127" s="17">
        <v>-116.6</v>
      </c>
      <c r="M127" s="17">
        <v>-128.9</v>
      </c>
      <c r="N127" s="17">
        <v>-123</v>
      </c>
      <c r="O127" s="17">
        <v>-651.4</v>
      </c>
    </row>
    <row r="130" spans="1:15" x14ac:dyDescent="0.15">
      <c r="A130" s="51" t="s">
        <v>257</v>
      </c>
      <c r="B130" s="51"/>
      <c r="C130" s="51"/>
    </row>
    <row r="131" spans="1:15" x14ac:dyDescent="0.15">
      <c r="A131" s="51" t="s">
        <v>74</v>
      </c>
      <c r="B131" s="51"/>
      <c r="C131" s="51"/>
    </row>
    <row r="132" spans="1:15" x14ac:dyDescent="0.15">
      <c r="A132" s="51" t="s">
        <v>281</v>
      </c>
      <c r="B132" s="51"/>
      <c r="C132" s="51"/>
    </row>
    <row r="133" spans="1:15" x14ac:dyDescent="0.15">
      <c r="A133" s="61" t="str">
        <f ca="1">HYPERLINK("#"&amp;CELL("address", Contents!A20), "Back to Table of Contents")</f>
        <v>Back to Table of Contents</v>
      </c>
      <c r="B133" s="61"/>
      <c r="C133" s="61"/>
    </row>
    <row r="135" spans="1:15" x14ac:dyDescent="0.15">
      <c r="A135" s="14" t="s">
        <v>47</v>
      </c>
    </row>
    <row r="136" spans="1:15" x14ac:dyDescent="0.15">
      <c r="A136" s="65" t="s">
        <v>296</v>
      </c>
      <c r="B136" s="65"/>
      <c r="C136" s="65"/>
      <c r="O136" s="18" t="s">
        <v>177</v>
      </c>
    </row>
    <row r="138" spans="1:15" x14ac:dyDescent="0.15">
      <c r="A138" s="51" t="s">
        <v>2</v>
      </c>
      <c r="B138" s="51"/>
      <c r="D138" s="13">
        <v>2023</v>
      </c>
      <c r="E138" s="13">
        <v>2024</v>
      </c>
      <c r="F138" s="13">
        <v>2025</v>
      </c>
      <c r="G138" s="13">
        <v>2026</v>
      </c>
      <c r="H138" s="13">
        <v>2027</v>
      </c>
      <c r="I138" s="13">
        <v>2028</v>
      </c>
      <c r="J138" s="13">
        <v>2029</v>
      </c>
      <c r="K138" s="13">
        <v>2030</v>
      </c>
      <c r="L138" s="13">
        <v>2031</v>
      </c>
      <c r="M138" s="13">
        <v>2032</v>
      </c>
      <c r="N138" s="13" t="s">
        <v>3</v>
      </c>
      <c r="O138" s="13" t="s">
        <v>4</v>
      </c>
    </row>
    <row r="140" spans="1:15" x14ac:dyDescent="0.15">
      <c r="A140" s="51" t="s">
        <v>5</v>
      </c>
      <c r="B140" s="51"/>
    </row>
    <row r="141" spans="1:15" x14ac:dyDescent="0.15">
      <c r="B141" s="51" t="s">
        <v>297</v>
      </c>
      <c r="C141" s="51"/>
      <c r="D141" s="13">
        <v>0</v>
      </c>
      <c r="E141" s="13" t="s">
        <v>33</v>
      </c>
      <c r="F141" s="13" t="s">
        <v>33</v>
      </c>
      <c r="G141" s="13">
        <v>-1</v>
      </c>
      <c r="H141" s="13">
        <v>-1</v>
      </c>
      <c r="I141" s="13">
        <v>-2</v>
      </c>
      <c r="J141" s="13">
        <v>-4</v>
      </c>
      <c r="K141" s="13">
        <v>-7</v>
      </c>
      <c r="L141" s="13">
        <v>-10</v>
      </c>
      <c r="M141" s="13">
        <v>-15</v>
      </c>
      <c r="N141" s="13">
        <v>-2</v>
      </c>
      <c r="O141" s="13">
        <v>-40</v>
      </c>
    </row>
    <row r="142" spans="1:15" x14ac:dyDescent="0.15">
      <c r="B142" s="51" t="s">
        <v>298</v>
      </c>
      <c r="C142" s="51"/>
      <c r="D142" s="13">
        <v>0</v>
      </c>
      <c r="E142" s="13" t="s">
        <v>33</v>
      </c>
      <c r="F142" s="13">
        <v>-1</v>
      </c>
      <c r="G142" s="13">
        <v>-2</v>
      </c>
      <c r="H142" s="13">
        <v>-4</v>
      </c>
      <c r="I142" s="13">
        <v>-7</v>
      </c>
      <c r="J142" s="13">
        <v>-12</v>
      </c>
      <c r="K142" s="13">
        <v>-18</v>
      </c>
      <c r="L142" s="13">
        <v>-27</v>
      </c>
      <c r="M142" s="13">
        <v>-38</v>
      </c>
      <c r="N142" s="13">
        <v>-7</v>
      </c>
      <c r="O142" s="13">
        <v>-109</v>
      </c>
    </row>
    <row r="143" spans="1:15" x14ac:dyDescent="0.15">
      <c r="B143" s="51" t="s">
        <v>299</v>
      </c>
      <c r="C143" s="51"/>
      <c r="D143" s="13">
        <v>0</v>
      </c>
      <c r="E143" s="13" t="s">
        <v>33</v>
      </c>
      <c r="F143" s="13">
        <v>-1</v>
      </c>
      <c r="G143" s="13">
        <v>-4</v>
      </c>
      <c r="H143" s="13">
        <v>-7</v>
      </c>
      <c r="I143" s="13">
        <v>-13</v>
      </c>
      <c r="J143" s="13">
        <v>-21</v>
      </c>
      <c r="K143" s="13">
        <v>-32</v>
      </c>
      <c r="L143" s="13">
        <v>-45</v>
      </c>
      <c r="M143" s="13">
        <v>-61</v>
      </c>
      <c r="N143" s="13">
        <v>-12</v>
      </c>
      <c r="O143" s="13">
        <v>-184</v>
      </c>
    </row>
    <row r="146" spans="1:15" x14ac:dyDescent="0.15">
      <c r="A146" s="51" t="s">
        <v>90</v>
      </c>
      <c r="B146" s="51"/>
      <c r="C146" s="51"/>
    </row>
    <row r="147" spans="1:15" x14ac:dyDescent="0.15">
      <c r="A147" s="51" t="s">
        <v>91</v>
      </c>
      <c r="B147" s="51"/>
      <c r="C147" s="51"/>
    </row>
    <row r="148" spans="1:15" x14ac:dyDescent="0.15">
      <c r="A148" s="51" t="s">
        <v>300</v>
      </c>
      <c r="B148" s="51"/>
      <c r="C148" s="51"/>
    </row>
    <row r="149" spans="1:15" x14ac:dyDescent="0.15">
      <c r="A149" s="61" t="str">
        <f ca="1">HYPERLINK("#"&amp;CELL("address", Contents!A21), "Back to Table of Contents")</f>
        <v>Back to Table of Contents</v>
      </c>
      <c r="B149" s="61"/>
      <c r="C149" s="61"/>
    </row>
    <row r="151" spans="1:15" x14ac:dyDescent="0.15">
      <c r="A151" s="14" t="s">
        <v>60</v>
      </c>
    </row>
    <row r="152" spans="1:15" x14ac:dyDescent="0.15">
      <c r="A152" s="65" t="s">
        <v>301</v>
      </c>
      <c r="B152" s="65"/>
      <c r="C152" s="65"/>
      <c r="O152" s="18" t="s">
        <v>177</v>
      </c>
    </row>
    <row r="154" spans="1:15" x14ac:dyDescent="0.15">
      <c r="A154" s="51" t="s">
        <v>2</v>
      </c>
      <c r="B154" s="51"/>
      <c r="D154" s="13">
        <v>2023</v>
      </c>
      <c r="E154" s="13">
        <v>2024</v>
      </c>
      <c r="F154" s="13">
        <v>2025</v>
      </c>
      <c r="G154" s="13">
        <v>2026</v>
      </c>
      <c r="H154" s="13">
        <v>2027</v>
      </c>
      <c r="I154" s="13">
        <v>2028</v>
      </c>
      <c r="J154" s="13">
        <v>2029</v>
      </c>
      <c r="K154" s="13">
        <v>2030</v>
      </c>
      <c r="L154" s="13">
        <v>2031</v>
      </c>
      <c r="M154" s="13">
        <v>2032</v>
      </c>
      <c r="N154" s="13" t="s">
        <v>3</v>
      </c>
      <c r="O154" s="13" t="s">
        <v>4</v>
      </c>
    </row>
    <row r="156" spans="1:15" x14ac:dyDescent="0.15">
      <c r="A156" s="51" t="s">
        <v>5</v>
      </c>
      <c r="B156" s="51"/>
    </row>
    <row r="157" spans="1:15" x14ac:dyDescent="0.15">
      <c r="B157" s="51" t="s">
        <v>302</v>
      </c>
      <c r="C157" s="51"/>
      <c r="D157" s="13">
        <v>0</v>
      </c>
      <c r="E157" s="13">
        <v>-1</v>
      </c>
      <c r="F157" s="13">
        <v>-3</v>
      </c>
      <c r="G157" s="13">
        <v>-8</v>
      </c>
      <c r="H157" s="13">
        <v>-13</v>
      </c>
      <c r="I157" s="13">
        <v>-21</v>
      </c>
      <c r="J157" s="13">
        <v>-32</v>
      </c>
      <c r="K157" s="13">
        <v>-46</v>
      </c>
      <c r="L157" s="13">
        <v>-63</v>
      </c>
      <c r="M157" s="13">
        <v>-83</v>
      </c>
      <c r="N157" s="13">
        <v>-25</v>
      </c>
      <c r="O157" s="13">
        <v>-270</v>
      </c>
    </row>
    <row r="158" spans="1:15" x14ac:dyDescent="0.15">
      <c r="B158" s="51" t="s">
        <v>384</v>
      </c>
      <c r="C158" s="51"/>
      <c r="D158" s="13">
        <v>0</v>
      </c>
      <c r="E158" s="13">
        <v>-2</v>
      </c>
      <c r="F158" s="13">
        <v>-8</v>
      </c>
      <c r="G158" s="13">
        <v>-19</v>
      </c>
      <c r="H158" s="13">
        <v>-33</v>
      </c>
      <c r="I158" s="13">
        <v>-51</v>
      </c>
      <c r="J158" s="13">
        <v>-74</v>
      </c>
      <c r="K158" s="13">
        <v>-102</v>
      </c>
      <c r="L158" s="13">
        <v>-134</v>
      </c>
      <c r="M158" s="13">
        <v>-170</v>
      </c>
      <c r="N158" s="13">
        <v>-62</v>
      </c>
      <c r="O158" s="13">
        <v>-593</v>
      </c>
    </row>
    <row r="161" spans="1:15" x14ac:dyDescent="0.15">
      <c r="A161" s="51" t="s">
        <v>90</v>
      </c>
      <c r="B161" s="51"/>
      <c r="C161" s="51"/>
    </row>
    <row r="162" spans="1:15" x14ac:dyDescent="0.15">
      <c r="A162" s="51" t="s">
        <v>91</v>
      </c>
      <c r="B162" s="51"/>
      <c r="C162" s="51"/>
    </row>
    <row r="163" spans="1:15" x14ac:dyDescent="0.15">
      <c r="A163" s="61" t="str">
        <f ca="1">HYPERLINK("#"&amp;CELL("address", Contents!A22), "Back to Table of Contents")</f>
        <v>Back to Table of Contents</v>
      </c>
      <c r="B163" s="61"/>
      <c r="C163" s="61"/>
    </row>
    <row r="165" spans="1:15" x14ac:dyDescent="0.15">
      <c r="A165" s="14" t="s">
        <v>70</v>
      </c>
    </row>
    <row r="166" spans="1:15" x14ac:dyDescent="0.15">
      <c r="A166" s="65" t="s">
        <v>303</v>
      </c>
      <c r="B166" s="65"/>
      <c r="C166" s="65"/>
      <c r="O166" s="18" t="s">
        <v>177</v>
      </c>
    </row>
    <row r="168" spans="1:15" x14ac:dyDescent="0.15">
      <c r="A168" s="51" t="s">
        <v>2</v>
      </c>
      <c r="B168" s="51"/>
      <c r="D168" s="13">
        <v>2023</v>
      </c>
      <c r="E168" s="13">
        <v>2024</v>
      </c>
      <c r="F168" s="13">
        <v>2025</v>
      </c>
      <c r="G168" s="13">
        <v>2026</v>
      </c>
      <c r="H168" s="13">
        <v>2027</v>
      </c>
      <c r="I168" s="13">
        <v>2028</v>
      </c>
      <c r="J168" s="13">
        <v>2029</v>
      </c>
      <c r="K168" s="13">
        <v>2030</v>
      </c>
      <c r="L168" s="13">
        <v>2031</v>
      </c>
      <c r="M168" s="13">
        <v>2032</v>
      </c>
      <c r="N168" s="13" t="s">
        <v>3</v>
      </c>
      <c r="O168" s="13" t="s">
        <v>4</v>
      </c>
    </row>
    <row r="170" spans="1:15" x14ac:dyDescent="0.15">
      <c r="A170" s="51" t="s">
        <v>117</v>
      </c>
      <c r="B170" s="51"/>
      <c r="C170" s="51"/>
    </row>
    <row r="171" spans="1:15" ht="15" x14ac:dyDescent="0.15">
      <c r="B171" s="51" t="s">
        <v>385</v>
      </c>
      <c r="C171" s="51"/>
      <c r="D171" s="17">
        <v>-21.7</v>
      </c>
      <c r="E171" s="17">
        <v>-69.2</v>
      </c>
      <c r="F171" s="17">
        <v>-68.599999999999895</v>
      </c>
      <c r="G171" s="17">
        <v>-69.599999999999895</v>
      </c>
      <c r="H171" s="17">
        <v>-70.8</v>
      </c>
      <c r="I171" s="17">
        <v>-72.2</v>
      </c>
      <c r="J171" s="17">
        <v>-73.2</v>
      </c>
      <c r="K171" s="17">
        <v>-74</v>
      </c>
      <c r="L171" s="17">
        <v>-74.8</v>
      </c>
      <c r="M171" s="17">
        <v>-75.900000000000006</v>
      </c>
      <c r="N171" s="17">
        <v>-299.89999999999998</v>
      </c>
      <c r="O171" s="17">
        <v>-669.9</v>
      </c>
    </row>
    <row r="172" spans="1:15" x14ac:dyDescent="0.15">
      <c r="B172" s="51" t="s">
        <v>304</v>
      </c>
      <c r="C172" s="51"/>
      <c r="D172" s="17">
        <v>-31.4</v>
      </c>
      <c r="E172" s="17">
        <v>-107.8</v>
      </c>
      <c r="F172" s="17">
        <v>-113.4</v>
      </c>
      <c r="G172" s="17">
        <v>-117.1</v>
      </c>
      <c r="H172" s="17">
        <v>-120.8</v>
      </c>
      <c r="I172" s="17">
        <v>-127.5</v>
      </c>
      <c r="J172" s="17">
        <v>-134.30000000000001</v>
      </c>
      <c r="K172" s="17">
        <v>-142</v>
      </c>
      <c r="L172" s="17">
        <v>-150.30000000000001</v>
      </c>
      <c r="M172" s="17">
        <v>-159.30000000000001</v>
      </c>
      <c r="N172" s="17">
        <v>-490.5</v>
      </c>
      <c r="O172" s="17">
        <v>-1203.9000000000001</v>
      </c>
    </row>
    <row r="175" spans="1:15" x14ac:dyDescent="0.15">
      <c r="A175" s="51" t="s">
        <v>257</v>
      </c>
      <c r="B175" s="51"/>
      <c r="C175" s="51"/>
    </row>
    <row r="176" spans="1:15" x14ac:dyDescent="0.15">
      <c r="A176" s="51" t="s">
        <v>24</v>
      </c>
      <c r="B176" s="51"/>
      <c r="C176" s="51"/>
    </row>
    <row r="177" spans="1:15" x14ac:dyDescent="0.15">
      <c r="A177" s="51" t="s">
        <v>305</v>
      </c>
      <c r="B177" s="51"/>
      <c r="C177" s="51"/>
      <c r="D177" s="51"/>
      <c r="E177" s="51"/>
      <c r="F177" s="51"/>
      <c r="G177" s="51"/>
      <c r="H177" s="51"/>
      <c r="I177" s="51"/>
      <c r="J177" s="51"/>
      <c r="K177" s="51"/>
      <c r="L177" s="51"/>
      <c r="M177" s="51"/>
      <c r="N177" s="51"/>
    </row>
    <row r="178" spans="1:15" x14ac:dyDescent="0.15">
      <c r="A178" s="51" t="s">
        <v>306</v>
      </c>
      <c r="B178" s="51"/>
      <c r="C178" s="51"/>
      <c r="D178" s="51"/>
      <c r="E178" s="51"/>
      <c r="F178" s="51"/>
    </row>
    <row r="179" spans="1:15" x14ac:dyDescent="0.15">
      <c r="A179" s="61" t="str">
        <f ca="1">HYPERLINK("#"&amp;CELL("address", Contents!A23), "Back to Table of Contents")</f>
        <v>Back to Table of Contents</v>
      </c>
      <c r="B179" s="61"/>
      <c r="C179" s="61"/>
    </row>
    <row r="181" spans="1:15" x14ac:dyDescent="0.15">
      <c r="A181" s="65" t="s">
        <v>76</v>
      </c>
      <c r="B181" s="65"/>
    </row>
    <row r="182" spans="1:15" x14ac:dyDescent="0.15">
      <c r="A182" s="65" t="s">
        <v>307</v>
      </c>
      <c r="B182" s="65"/>
      <c r="C182" s="65"/>
      <c r="N182" s="62" t="s">
        <v>355</v>
      </c>
      <c r="O182" s="62"/>
    </row>
    <row r="184" spans="1:15" x14ac:dyDescent="0.15">
      <c r="A184" s="51" t="s">
        <v>2</v>
      </c>
      <c r="B184" s="51"/>
      <c r="D184" s="13">
        <v>2023</v>
      </c>
      <c r="E184" s="13">
        <v>2024</v>
      </c>
      <c r="F184" s="13">
        <v>2025</v>
      </c>
      <c r="G184" s="13">
        <v>2026</v>
      </c>
      <c r="H184" s="13">
        <v>2027</v>
      </c>
      <c r="I184" s="13">
        <v>2028</v>
      </c>
      <c r="J184" s="13">
        <v>2029</v>
      </c>
      <c r="K184" s="13">
        <v>2030</v>
      </c>
      <c r="L184" s="13">
        <v>2031</v>
      </c>
      <c r="M184" s="13">
        <v>2032</v>
      </c>
      <c r="N184" s="13" t="s">
        <v>3</v>
      </c>
      <c r="O184" s="13" t="s">
        <v>4</v>
      </c>
    </row>
    <row r="186" spans="1:15" x14ac:dyDescent="0.15">
      <c r="A186" s="51" t="s">
        <v>308</v>
      </c>
      <c r="B186" s="51"/>
      <c r="C186" s="51"/>
      <c r="D186" s="13">
        <v>-1</v>
      </c>
      <c r="E186" s="13">
        <v>-49</v>
      </c>
      <c r="F186" s="13">
        <v>-60</v>
      </c>
      <c r="G186" s="13">
        <v>-62</v>
      </c>
      <c r="H186" s="13">
        <v>-64</v>
      </c>
      <c r="I186" s="13">
        <v>-69</v>
      </c>
      <c r="J186" s="13">
        <v>-64</v>
      </c>
      <c r="K186" s="13">
        <v>-69</v>
      </c>
      <c r="L186" s="13">
        <v>-71</v>
      </c>
      <c r="M186" s="13">
        <v>-73</v>
      </c>
      <c r="N186" s="13">
        <v>-236</v>
      </c>
      <c r="O186" s="13">
        <v>-580</v>
      </c>
    </row>
    <row r="187" spans="1:15" x14ac:dyDescent="0.15">
      <c r="B187" s="51" t="s">
        <v>309</v>
      </c>
      <c r="C187" s="51"/>
      <c r="D187" s="13">
        <v>0</v>
      </c>
      <c r="E187" s="13">
        <v>-17</v>
      </c>
      <c r="F187" s="13">
        <v>-26</v>
      </c>
      <c r="G187" s="13">
        <v>-27</v>
      </c>
      <c r="H187" s="13">
        <v>-28</v>
      </c>
      <c r="I187" s="13">
        <v>-31</v>
      </c>
      <c r="J187" s="13">
        <v>-27</v>
      </c>
      <c r="K187" s="13">
        <v>-31</v>
      </c>
      <c r="L187" s="13">
        <v>-32</v>
      </c>
      <c r="M187" s="13">
        <v>-33</v>
      </c>
      <c r="N187" s="13">
        <v>-98</v>
      </c>
      <c r="O187" s="13">
        <v>-253</v>
      </c>
    </row>
    <row r="188" spans="1:15" x14ac:dyDescent="0.15">
      <c r="B188" s="51" t="s">
        <v>310</v>
      </c>
      <c r="C188" s="51"/>
      <c r="D188" s="13">
        <v>-1</v>
      </c>
      <c r="E188" s="13">
        <v>-31</v>
      </c>
      <c r="F188" s="13">
        <v>-34</v>
      </c>
      <c r="G188" s="13">
        <v>-35</v>
      </c>
      <c r="H188" s="13">
        <v>-36</v>
      </c>
      <c r="I188" s="13">
        <v>-37</v>
      </c>
      <c r="J188" s="13">
        <v>-36</v>
      </c>
      <c r="K188" s="13">
        <v>-38</v>
      </c>
      <c r="L188" s="13">
        <v>-39</v>
      </c>
      <c r="M188" s="13">
        <v>-39</v>
      </c>
      <c r="N188" s="13">
        <v>-138</v>
      </c>
      <c r="O188" s="13">
        <v>-327</v>
      </c>
    </row>
    <row r="191" spans="1:15" x14ac:dyDescent="0.15">
      <c r="A191" s="51" t="s">
        <v>311</v>
      </c>
      <c r="B191" s="51"/>
      <c r="C191" s="51"/>
      <c r="D191" s="51"/>
      <c r="E191" s="51"/>
      <c r="F191" s="51"/>
      <c r="G191" s="51"/>
      <c r="H191" s="51"/>
      <c r="I191" s="51"/>
      <c r="J191" s="51"/>
      <c r="K191" s="51"/>
      <c r="L191" s="51"/>
      <c r="M191" s="51"/>
      <c r="N191" s="51"/>
      <c r="O191" s="51"/>
    </row>
    <row r="192" spans="1:15" x14ac:dyDescent="0.15">
      <c r="A192" s="51" t="s">
        <v>312</v>
      </c>
      <c r="B192" s="51"/>
      <c r="C192" s="51"/>
    </row>
    <row r="193" spans="1:15" x14ac:dyDescent="0.15">
      <c r="A193" s="61" t="str">
        <f ca="1">HYPERLINK("#"&amp;CELL("address", Contents!A24), "Back to Table of Contents")</f>
        <v>Back to Table of Contents</v>
      </c>
      <c r="B193" s="61"/>
      <c r="C193" s="61"/>
    </row>
    <row r="195" spans="1:15" x14ac:dyDescent="0.15">
      <c r="A195" s="65" t="s">
        <v>81</v>
      </c>
      <c r="B195" s="65"/>
    </row>
    <row r="196" spans="1:15" x14ac:dyDescent="0.15">
      <c r="A196" s="65" t="s">
        <v>313</v>
      </c>
      <c r="B196" s="65"/>
      <c r="C196" s="65"/>
      <c r="O196" s="18" t="s">
        <v>345</v>
      </c>
    </row>
    <row r="198" spans="1:15" x14ac:dyDescent="0.15">
      <c r="A198" s="51" t="s">
        <v>2</v>
      </c>
      <c r="B198" s="51"/>
      <c r="D198" s="13">
        <v>2023</v>
      </c>
      <c r="E198" s="13">
        <v>2024</v>
      </c>
      <c r="F198" s="13">
        <v>2025</v>
      </c>
      <c r="G198" s="13">
        <v>2026</v>
      </c>
      <c r="H198" s="13">
        <v>2027</v>
      </c>
      <c r="I198" s="13">
        <v>2028</v>
      </c>
      <c r="J198" s="13">
        <v>2029</v>
      </c>
      <c r="K198" s="13">
        <v>2030</v>
      </c>
      <c r="L198" s="13">
        <v>2031</v>
      </c>
      <c r="M198" s="13">
        <v>2032</v>
      </c>
      <c r="N198" s="13" t="s">
        <v>3</v>
      </c>
      <c r="O198" s="13" t="s">
        <v>4</v>
      </c>
    </row>
    <row r="200" spans="1:15" x14ac:dyDescent="0.15">
      <c r="A200" s="51" t="s">
        <v>209</v>
      </c>
      <c r="B200" s="51"/>
      <c r="C200" s="51"/>
    </row>
    <row r="201" spans="1:15" x14ac:dyDescent="0.15">
      <c r="B201" s="51" t="s">
        <v>31</v>
      </c>
      <c r="C201" s="51"/>
      <c r="D201" s="13">
        <v>0</v>
      </c>
      <c r="E201" s="13">
        <v>-64</v>
      </c>
      <c r="F201" s="13">
        <v>-90</v>
      </c>
      <c r="G201" s="13">
        <v>-105</v>
      </c>
      <c r="H201" s="13">
        <v>-132</v>
      </c>
      <c r="I201" s="13">
        <v>-138</v>
      </c>
      <c r="J201" s="13">
        <v>-142</v>
      </c>
      <c r="K201" s="13">
        <v>-146</v>
      </c>
      <c r="L201" s="13">
        <v>-150</v>
      </c>
      <c r="M201" s="13">
        <v>-154</v>
      </c>
      <c r="N201" s="13">
        <v>-391</v>
      </c>
      <c r="O201" s="13">
        <v>-1121</v>
      </c>
    </row>
    <row r="202" spans="1:15" x14ac:dyDescent="0.15">
      <c r="B202" s="26" t="s">
        <v>32</v>
      </c>
      <c r="D202" s="13">
        <v>0</v>
      </c>
      <c r="E202" s="13">
        <v>-37</v>
      </c>
      <c r="F202" s="13">
        <v>-68</v>
      </c>
      <c r="G202" s="13">
        <v>-88</v>
      </c>
      <c r="H202" s="13">
        <v>-112</v>
      </c>
      <c r="I202" s="13">
        <v>-126</v>
      </c>
      <c r="J202" s="13">
        <v>-133</v>
      </c>
      <c r="K202" s="13">
        <v>-139</v>
      </c>
      <c r="L202" s="13">
        <v>-144</v>
      </c>
      <c r="M202" s="13">
        <v>-148</v>
      </c>
      <c r="N202" s="13">
        <v>-305</v>
      </c>
      <c r="O202" s="13">
        <v>-995</v>
      </c>
    </row>
    <row r="205" spans="1:15" x14ac:dyDescent="0.15">
      <c r="A205" s="51" t="s">
        <v>6</v>
      </c>
      <c r="B205" s="51"/>
      <c r="C205" s="51"/>
    </row>
    <row r="206" spans="1:15" x14ac:dyDescent="0.15">
      <c r="A206" s="51" t="s">
        <v>314</v>
      </c>
      <c r="B206" s="51"/>
      <c r="C206" s="51"/>
      <c r="D206" s="51"/>
      <c r="E206" s="51"/>
      <c r="F206" s="51"/>
      <c r="G206" s="51"/>
      <c r="H206" s="51"/>
      <c r="I206" s="51"/>
      <c r="J206" s="51"/>
      <c r="K206" s="51"/>
      <c r="L206" s="51"/>
      <c r="M206" s="51"/>
      <c r="N206" s="51"/>
    </row>
    <row r="207" spans="1:15" x14ac:dyDescent="0.15">
      <c r="A207" s="61" t="str">
        <f ca="1">HYPERLINK("#"&amp;CELL("address", Contents!A25), "Back to Table of Contents")</f>
        <v>Back to Table of Contents</v>
      </c>
      <c r="B207" s="61"/>
      <c r="C207" s="61"/>
    </row>
    <row r="209" spans="1:15" x14ac:dyDescent="0.15">
      <c r="A209" s="65" t="s">
        <v>86</v>
      </c>
      <c r="B209" s="65"/>
    </row>
    <row r="210" spans="1:15" x14ac:dyDescent="0.15">
      <c r="A210" s="65" t="s">
        <v>315</v>
      </c>
      <c r="B210" s="65"/>
      <c r="C210" s="65"/>
      <c r="N210" s="62" t="s">
        <v>356</v>
      </c>
      <c r="O210" s="62"/>
    </row>
    <row r="212" spans="1:15" x14ac:dyDescent="0.15">
      <c r="A212" s="51" t="s">
        <v>2</v>
      </c>
      <c r="B212" s="51"/>
      <c r="D212" s="13">
        <v>2023</v>
      </c>
      <c r="E212" s="13">
        <v>2024</v>
      </c>
      <c r="F212" s="13">
        <v>2025</v>
      </c>
      <c r="G212" s="13">
        <v>2026</v>
      </c>
      <c r="H212" s="13">
        <v>2027</v>
      </c>
      <c r="I212" s="13">
        <v>2028</v>
      </c>
      <c r="J212" s="13">
        <v>2029</v>
      </c>
      <c r="K212" s="13">
        <v>2030</v>
      </c>
      <c r="L212" s="13">
        <v>2031</v>
      </c>
      <c r="M212" s="13">
        <v>2032</v>
      </c>
      <c r="N212" s="13" t="s">
        <v>3</v>
      </c>
      <c r="O212" s="13" t="s">
        <v>4</v>
      </c>
    </row>
    <row r="214" spans="1:15" x14ac:dyDescent="0.15">
      <c r="A214" s="51" t="s">
        <v>209</v>
      </c>
      <c r="B214" s="51"/>
      <c r="C214" s="51"/>
    </row>
    <row r="215" spans="1:15" x14ac:dyDescent="0.15">
      <c r="B215" s="51" t="s">
        <v>221</v>
      </c>
      <c r="C215" s="51"/>
      <c r="D215" s="13">
        <v>0</v>
      </c>
      <c r="E215" s="13">
        <v>-41</v>
      </c>
      <c r="F215" s="13">
        <v>-42</v>
      </c>
      <c r="G215" s="13">
        <v>-42</v>
      </c>
      <c r="H215" s="13">
        <v>-43</v>
      </c>
      <c r="I215" s="13">
        <v>-44</v>
      </c>
      <c r="J215" s="13">
        <v>-45</v>
      </c>
      <c r="K215" s="13">
        <v>-46</v>
      </c>
      <c r="L215" s="13">
        <v>-47</v>
      </c>
      <c r="M215" s="13">
        <v>-48</v>
      </c>
      <c r="N215" s="13">
        <v>-168</v>
      </c>
      <c r="O215" s="13">
        <v>-398</v>
      </c>
    </row>
    <row r="216" spans="1:15" x14ac:dyDescent="0.15">
      <c r="B216" s="12" t="s">
        <v>32</v>
      </c>
      <c r="D216" s="13">
        <v>0</v>
      </c>
      <c r="E216" s="13">
        <v>-12</v>
      </c>
      <c r="F216" s="13">
        <v>-29</v>
      </c>
      <c r="G216" s="13">
        <v>-35</v>
      </c>
      <c r="H216" s="13">
        <v>-38</v>
      </c>
      <c r="I216" s="13">
        <v>-40</v>
      </c>
      <c r="J216" s="13">
        <v>-42</v>
      </c>
      <c r="K216" s="13">
        <v>-44</v>
      </c>
      <c r="L216" s="13">
        <v>-45</v>
      </c>
      <c r="M216" s="13">
        <v>-46</v>
      </c>
      <c r="N216" s="13">
        <v>-115</v>
      </c>
      <c r="O216" s="13">
        <v>-332</v>
      </c>
    </row>
    <row r="219" spans="1:15" x14ac:dyDescent="0.15">
      <c r="A219" s="51" t="s">
        <v>6</v>
      </c>
      <c r="B219" s="51"/>
      <c r="C219" s="51"/>
    </row>
    <row r="220" spans="1:15" x14ac:dyDescent="0.15">
      <c r="A220" s="51" t="s">
        <v>316</v>
      </c>
      <c r="B220" s="51"/>
      <c r="C220" s="51"/>
    </row>
    <row r="221" spans="1:15" x14ac:dyDescent="0.15">
      <c r="A221" s="61" t="str">
        <f ca="1">HYPERLINK("#"&amp;CELL("address", Contents!A26), "Back to Table of Contents")</f>
        <v>Back to Table of Contents</v>
      </c>
      <c r="B221" s="61"/>
      <c r="C221" s="61"/>
    </row>
    <row r="223" spans="1:15" x14ac:dyDescent="0.15">
      <c r="A223" s="65" t="s">
        <v>88</v>
      </c>
      <c r="B223" s="65"/>
    </row>
    <row r="224" spans="1:15" x14ac:dyDescent="0.15">
      <c r="A224" s="65" t="s">
        <v>317</v>
      </c>
      <c r="B224" s="65"/>
      <c r="C224" s="65"/>
    </row>
    <row r="226" spans="1:15" x14ac:dyDescent="0.15">
      <c r="A226" s="51" t="s">
        <v>2</v>
      </c>
      <c r="B226" s="51"/>
      <c r="D226" s="13">
        <v>2023</v>
      </c>
      <c r="E226" s="13">
        <v>2024</v>
      </c>
      <c r="F226" s="13">
        <v>2025</v>
      </c>
      <c r="G226" s="13">
        <v>2026</v>
      </c>
      <c r="H226" s="13">
        <v>2027</v>
      </c>
      <c r="I226" s="13">
        <v>2028</v>
      </c>
      <c r="J226" s="13">
        <v>2029</v>
      </c>
      <c r="K226" s="13">
        <v>2030</v>
      </c>
      <c r="L226" s="13">
        <v>2031</v>
      </c>
      <c r="M226" s="13">
        <v>2032</v>
      </c>
      <c r="N226" s="13" t="s">
        <v>3</v>
      </c>
      <c r="O226" s="13" t="s">
        <v>4</v>
      </c>
    </row>
    <row r="228" spans="1:15" x14ac:dyDescent="0.15">
      <c r="A228" s="51" t="s">
        <v>117</v>
      </c>
      <c r="B228" s="51"/>
      <c r="C228" s="51"/>
    </row>
    <row r="229" spans="1:15" x14ac:dyDescent="0.15">
      <c r="B229" s="51" t="s">
        <v>318</v>
      </c>
      <c r="C229" s="51"/>
      <c r="D229" s="17">
        <v>-72.400000000000006</v>
      </c>
      <c r="E229" s="17">
        <v>-106.6</v>
      </c>
      <c r="F229" s="17">
        <v>-111.3</v>
      </c>
      <c r="G229" s="17">
        <v>-102.1</v>
      </c>
      <c r="H229" s="17">
        <v>-102.2</v>
      </c>
      <c r="I229" s="17">
        <v>-107.4</v>
      </c>
      <c r="J229" s="17">
        <v>-112</v>
      </c>
      <c r="K229" s="17">
        <v>-117</v>
      </c>
      <c r="L229" s="17">
        <v>-122.3</v>
      </c>
      <c r="M229" s="17">
        <v>-127.9</v>
      </c>
      <c r="N229" s="17">
        <v>-494.6</v>
      </c>
      <c r="O229" s="17">
        <v>-1081.3</v>
      </c>
    </row>
    <row r="230" spans="1:15" x14ac:dyDescent="0.15">
      <c r="B230" s="51" t="s">
        <v>319</v>
      </c>
      <c r="C230" s="51"/>
      <c r="D230" s="17">
        <v>-37.4</v>
      </c>
      <c r="E230" s="17">
        <v>-54.9</v>
      </c>
      <c r="F230" s="17">
        <v>-57.3</v>
      </c>
      <c r="G230" s="17">
        <v>-47.5</v>
      </c>
      <c r="H230" s="17">
        <v>-45.6</v>
      </c>
      <c r="I230" s="17">
        <v>-47.9</v>
      </c>
      <c r="J230" s="17">
        <v>-49.3</v>
      </c>
      <c r="K230" s="17">
        <v>-51.4</v>
      </c>
      <c r="L230" s="17">
        <v>-53.9</v>
      </c>
      <c r="M230" s="17">
        <v>-56.7</v>
      </c>
      <c r="N230" s="17">
        <v>-242.7</v>
      </c>
      <c r="O230" s="17">
        <v>-501.9</v>
      </c>
    </row>
    <row r="231" spans="1:15" x14ac:dyDescent="0.15">
      <c r="B231" s="51" t="s">
        <v>320</v>
      </c>
      <c r="C231" s="51"/>
      <c r="D231" s="17">
        <v>-66.099999999999895</v>
      </c>
      <c r="E231" s="17">
        <v>-117.6</v>
      </c>
      <c r="F231" s="17">
        <v>-122.4</v>
      </c>
      <c r="G231" s="17">
        <v>-127.7</v>
      </c>
      <c r="H231" s="17">
        <v>-133.5</v>
      </c>
      <c r="I231" s="17">
        <v>-139.69999999999999</v>
      </c>
      <c r="J231" s="17">
        <v>-145.5</v>
      </c>
      <c r="K231" s="17">
        <v>-151.9</v>
      </c>
      <c r="L231" s="17">
        <v>-158.69999999999999</v>
      </c>
      <c r="M231" s="17">
        <v>-166</v>
      </c>
      <c r="N231" s="17">
        <v>-567.29999999999995</v>
      </c>
      <c r="O231" s="17">
        <v>-1329.1</v>
      </c>
    </row>
    <row r="232" spans="1:15" x14ac:dyDescent="0.15">
      <c r="B232" s="64" t="s">
        <v>321</v>
      </c>
      <c r="C232" s="64"/>
      <c r="D232" s="63">
        <v>-37.5</v>
      </c>
      <c r="E232" s="63">
        <v>-70.5</v>
      </c>
      <c r="F232" s="63">
        <v>-73.099999999999895</v>
      </c>
      <c r="G232" s="63">
        <v>-74.900000000000006</v>
      </c>
      <c r="H232" s="63">
        <v>-77.400000000000006</v>
      </c>
      <c r="I232" s="63">
        <v>-81.099999999999895</v>
      </c>
      <c r="J232" s="63">
        <v>-84.099999999999895</v>
      </c>
      <c r="K232" s="63">
        <v>-87.4</v>
      </c>
      <c r="L232" s="63">
        <v>-91.599999999999895</v>
      </c>
      <c r="M232" s="63">
        <v>-96.2</v>
      </c>
      <c r="N232" s="63">
        <v>-333.4</v>
      </c>
      <c r="O232" s="63">
        <v>-773.8</v>
      </c>
    </row>
    <row r="233" spans="1:15" x14ac:dyDescent="0.15">
      <c r="B233" s="64"/>
      <c r="C233" s="64"/>
      <c r="D233" s="63"/>
      <c r="E233" s="63"/>
      <c r="F233" s="63"/>
      <c r="G233" s="63"/>
      <c r="H233" s="63"/>
      <c r="I233" s="63"/>
      <c r="J233" s="63"/>
      <c r="K233" s="63"/>
      <c r="L233" s="63"/>
      <c r="M233" s="63"/>
      <c r="N233" s="63"/>
      <c r="O233" s="63"/>
    </row>
    <row r="236" spans="1:15" x14ac:dyDescent="0.15">
      <c r="A236" s="51" t="s">
        <v>225</v>
      </c>
      <c r="B236" s="51"/>
      <c r="C236" s="51"/>
    </row>
    <row r="237" spans="1:15" x14ac:dyDescent="0.15">
      <c r="A237" s="51" t="s">
        <v>24</v>
      </c>
      <c r="B237" s="51"/>
      <c r="C237" s="51"/>
    </row>
    <row r="238" spans="1:15" x14ac:dyDescent="0.15">
      <c r="A238" s="51" t="s">
        <v>322</v>
      </c>
      <c r="B238" s="51"/>
      <c r="C238" s="51"/>
    </row>
    <row r="239" spans="1:15" x14ac:dyDescent="0.15">
      <c r="A239" s="61" t="str">
        <f ca="1">HYPERLINK("#"&amp;CELL("address", Contents!A27), "Back to Table of Contents")</f>
        <v>Back to Table of Contents</v>
      </c>
      <c r="B239" s="61"/>
      <c r="C239" s="61"/>
    </row>
    <row r="241" spans="1:15" x14ac:dyDescent="0.15">
      <c r="A241" s="65" t="s">
        <v>93</v>
      </c>
      <c r="B241" s="65"/>
    </row>
    <row r="242" spans="1:15" x14ac:dyDescent="0.15">
      <c r="A242" s="65" t="s">
        <v>323</v>
      </c>
      <c r="B242" s="65"/>
      <c r="C242" s="65"/>
    </row>
    <row r="244" spans="1:15" x14ac:dyDescent="0.15">
      <c r="A244" s="51" t="s">
        <v>2</v>
      </c>
      <c r="B244" s="51"/>
      <c r="D244" s="13">
        <v>2023</v>
      </c>
      <c r="E244" s="13">
        <v>2024</v>
      </c>
      <c r="F244" s="13">
        <v>2025</v>
      </c>
      <c r="G244" s="13">
        <v>2026</v>
      </c>
      <c r="H244" s="13">
        <v>2027</v>
      </c>
      <c r="I244" s="13">
        <v>2028</v>
      </c>
      <c r="J244" s="13">
        <v>2029</v>
      </c>
      <c r="K244" s="13">
        <v>2030</v>
      </c>
      <c r="L244" s="13">
        <v>2031</v>
      </c>
      <c r="M244" s="13">
        <v>2032</v>
      </c>
      <c r="N244" s="13" t="s">
        <v>3</v>
      </c>
      <c r="O244" s="13" t="s">
        <v>4</v>
      </c>
    </row>
    <row r="246" spans="1:15" x14ac:dyDescent="0.15">
      <c r="A246" s="51" t="s">
        <v>117</v>
      </c>
      <c r="B246" s="51"/>
      <c r="C246" s="51"/>
    </row>
    <row r="247" spans="1:15" x14ac:dyDescent="0.15">
      <c r="B247" s="51" t="s">
        <v>324</v>
      </c>
      <c r="C247" s="51"/>
      <c r="D247" s="17">
        <v>-58.1</v>
      </c>
      <c r="E247" s="17">
        <v>-96.599999999999895</v>
      </c>
      <c r="F247" s="17">
        <v>-102.8</v>
      </c>
      <c r="G247" s="17">
        <v>-231.5</v>
      </c>
      <c r="H247" s="17">
        <v>-305.89999999999998</v>
      </c>
      <c r="I247" s="17">
        <v>-315.8</v>
      </c>
      <c r="J247" s="17">
        <v>-327.60000000000002</v>
      </c>
      <c r="K247" s="17">
        <v>-340.7</v>
      </c>
      <c r="L247" s="17">
        <v>-355.9</v>
      </c>
      <c r="M247" s="17">
        <v>-372.3</v>
      </c>
      <c r="N247" s="17">
        <v>-794.9</v>
      </c>
      <c r="O247" s="17">
        <v>-2507.4</v>
      </c>
    </row>
    <row r="248" spans="1:15" x14ac:dyDescent="0.15">
      <c r="B248" s="51" t="s">
        <v>325</v>
      </c>
      <c r="C248" s="51"/>
      <c r="D248" s="17">
        <v>-9.5</v>
      </c>
      <c r="E248" s="17">
        <v>-23.4</v>
      </c>
      <c r="F248" s="17">
        <v>-23.3</v>
      </c>
      <c r="G248" s="17">
        <v>-76.900000000000006</v>
      </c>
      <c r="H248" s="17">
        <v>-155.9</v>
      </c>
      <c r="I248" s="17">
        <v>-157.19999999999999</v>
      </c>
      <c r="J248" s="17">
        <v>-163.4</v>
      </c>
      <c r="K248" s="17">
        <v>-170.1</v>
      </c>
      <c r="L248" s="17">
        <v>-177.7</v>
      </c>
      <c r="M248" s="17">
        <v>-185.8</v>
      </c>
      <c r="N248" s="17">
        <v>-289</v>
      </c>
      <c r="O248" s="17">
        <v>-1143.2</v>
      </c>
    </row>
    <row r="249" spans="1:15" x14ac:dyDescent="0.15">
      <c r="B249" s="51" t="s">
        <v>326</v>
      </c>
      <c r="C249" s="51"/>
      <c r="D249" s="17">
        <v>-35.799999999999997</v>
      </c>
      <c r="E249" s="17">
        <v>-57.7</v>
      </c>
      <c r="F249" s="17">
        <v>-61.7</v>
      </c>
      <c r="G249" s="17">
        <v>-121.3</v>
      </c>
      <c r="H249" s="17">
        <v>-159.5</v>
      </c>
      <c r="I249" s="17">
        <v>-168.9</v>
      </c>
      <c r="J249" s="17">
        <v>-175.6</v>
      </c>
      <c r="K249" s="17">
        <v>-183.1</v>
      </c>
      <c r="L249" s="17">
        <v>-191.6</v>
      </c>
      <c r="M249" s="17">
        <v>-200.7</v>
      </c>
      <c r="N249" s="17">
        <v>-436</v>
      </c>
      <c r="O249" s="17">
        <v>-1356</v>
      </c>
    </row>
    <row r="250" spans="1:15" x14ac:dyDescent="0.15">
      <c r="B250" s="51" t="s">
        <v>327</v>
      </c>
      <c r="C250" s="51"/>
      <c r="D250" s="17">
        <v>-15.1</v>
      </c>
      <c r="E250" s="17">
        <v>-26.2</v>
      </c>
      <c r="F250" s="17">
        <v>-29.4</v>
      </c>
      <c r="G250" s="17">
        <v>-48.1</v>
      </c>
      <c r="H250" s="17">
        <v>-59.6</v>
      </c>
      <c r="I250" s="17">
        <v>-64.3</v>
      </c>
      <c r="J250" s="17">
        <v>-68.2</v>
      </c>
      <c r="K250" s="17">
        <v>-72</v>
      </c>
      <c r="L250" s="17">
        <v>-76.7</v>
      </c>
      <c r="M250" s="17">
        <v>-81.8</v>
      </c>
      <c r="N250" s="17">
        <v>-178.4</v>
      </c>
      <c r="O250" s="17">
        <v>-541.4</v>
      </c>
    </row>
    <row r="253" spans="1:15" x14ac:dyDescent="0.15">
      <c r="A253" s="51" t="s">
        <v>225</v>
      </c>
      <c r="B253" s="51"/>
      <c r="C253" s="51"/>
    </row>
    <row r="254" spans="1:15" x14ac:dyDescent="0.15">
      <c r="A254" s="51" t="s">
        <v>24</v>
      </c>
      <c r="B254" s="51"/>
      <c r="C254" s="51"/>
    </row>
    <row r="255" spans="1:15" x14ac:dyDescent="0.15">
      <c r="A255" s="61" t="str">
        <f ca="1">HYPERLINK("#"&amp;CELL("address", Contents!A28), "Back to Table of Contents")</f>
        <v>Back to Table of Contents</v>
      </c>
      <c r="B255" s="61"/>
      <c r="C255" s="61"/>
    </row>
    <row r="257" spans="1:15" x14ac:dyDescent="0.15">
      <c r="A257" s="65" t="s">
        <v>96</v>
      </c>
      <c r="B257" s="65"/>
    </row>
    <row r="258" spans="1:15" x14ac:dyDescent="0.15">
      <c r="A258" s="65" t="s">
        <v>328</v>
      </c>
      <c r="B258" s="65"/>
      <c r="C258" s="65"/>
    </row>
    <row r="260" spans="1:15" x14ac:dyDescent="0.15">
      <c r="A260" s="51" t="s">
        <v>2</v>
      </c>
      <c r="B260" s="51"/>
      <c r="D260" s="13">
        <v>2023</v>
      </c>
      <c r="E260" s="13">
        <v>2024</v>
      </c>
      <c r="F260" s="13">
        <v>2025</v>
      </c>
      <c r="G260" s="13">
        <v>2026</v>
      </c>
      <c r="H260" s="13">
        <v>2027</v>
      </c>
      <c r="I260" s="13">
        <v>2028</v>
      </c>
      <c r="J260" s="13">
        <v>2029</v>
      </c>
      <c r="K260" s="13">
        <v>2030</v>
      </c>
      <c r="L260" s="13">
        <v>2031</v>
      </c>
      <c r="M260" s="13">
        <v>2032</v>
      </c>
      <c r="N260" s="13" t="s">
        <v>3</v>
      </c>
      <c r="O260" s="13" t="s">
        <v>4</v>
      </c>
    </row>
    <row r="262" spans="1:15" x14ac:dyDescent="0.15">
      <c r="A262" s="51" t="s">
        <v>117</v>
      </c>
      <c r="B262" s="51"/>
      <c r="C262" s="51"/>
    </row>
    <row r="263" spans="1:15" x14ac:dyDescent="0.15">
      <c r="B263" s="51" t="s">
        <v>329</v>
      </c>
      <c r="C263" s="51"/>
      <c r="D263" s="17">
        <v>-51.3</v>
      </c>
      <c r="E263" s="17">
        <v>-106.4</v>
      </c>
      <c r="F263" s="17">
        <v>-109.7</v>
      </c>
      <c r="G263" s="17">
        <v>-112.6</v>
      </c>
      <c r="H263" s="17">
        <v>-115.9</v>
      </c>
      <c r="I263" s="17">
        <v>-119.8</v>
      </c>
      <c r="J263" s="17">
        <v>-123.7</v>
      </c>
      <c r="K263" s="17">
        <v>-127.8</v>
      </c>
      <c r="L263" s="17">
        <v>-132.1</v>
      </c>
      <c r="M263" s="17">
        <v>-136.5</v>
      </c>
      <c r="N263" s="17">
        <v>-495.9</v>
      </c>
      <c r="O263" s="17">
        <v>-1135.7</v>
      </c>
    </row>
    <row r="264" spans="1:15" x14ac:dyDescent="0.15">
      <c r="B264" s="51" t="s">
        <v>330</v>
      </c>
      <c r="C264" s="51"/>
      <c r="D264" s="17">
        <v>-101.5</v>
      </c>
      <c r="E264" s="17">
        <v>-211.1</v>
      </c>
      <c r="F264" s="17">
        <v>-217.7</v>
      </c>
      <c r="G264" s="17">
        <v>-223.4</v>
      </c>
      <c r="H264" s="17">
        <v>-229.9</v>
      </c>
      <c r="I264" s="17">
        <v>-237.5</v>
      </c>
      <c r="J264" s="17">
        <v>-245.4</v>
      </c>
      <c r="K264" s="17">
        <v>-253.5</v>
      </c>
      <c r="L264" s="17">
        <v>-262</v>
      </c>
      <c r="M264" s="17">
        <v>-270.8</v>
      </c>
      <c r="N264" s="17">
        <v>-983.6</v>
      </c>
      <c r="O264" s="17">
        <v>-2252.6999999999998</v>
      </c>
    </row>
    <row r="267" spans="1:15" x14ac:dyDescent="0.15">
      <c r="A267" s="51" t="s">
        <v>225</v>
      </c>
      <c r="B267" s="51"/>
      <c r="C267" s="51"/>
    </row>
    <row r="268" spans="1:15" x14ac:dyDescent="0.15">
      <c r="A268" s="51" t="s">
        <v>24</v>
      </c>
      <c r="B268" s="51"/>
      <c r="C268" s="51"/>
    </row>
    <row r="269" spans="1:15" x14ac:dyDescent="0.15">
      <c r="A269" s="61" t="str">
        <f ca="1">HYPERLINK("#"&amp;CELL("address", Contents!A29), "Back to Table of Contents")</f>
        <v>Back to Table of Contents</v>
      </c>
      <c r="B269" s="61"/>
      <c r="C269" s="61"/>
    </row>
    <row r="271" spans="1:15" x14ac:dyDescent="0.15">
      <c r="A271" s="65" t="s">
        <v>101</v>
      </c>
      <c r="B271" s="65"/>
    </row>
    <row r="272" spans="1:15" x14ac:dyDescent="0.15">
      <c r="A272" s="65" t="s">
        <v>331</v>
      </c>
      <c r="B272" s="65"/>
      <c r="C272" s="65"/>
    </row>
    <row r="274" spans="1:15" x14ac:dyDescent="0.15">
      <c r="A274" s="51" t="s">
        <v>2</v>
      </c>
      <c r="B274" s="51"/>
      <c r="D274" s="13">
        <v>2023</v>
      </c>
      <c r="E274" s="13">
        <v>2024</v>
      </c>
      <c r="F274" s="13">
        <v>2025</v>
      </c>
      <c r="G274" s="13">
        <v>2026</v>
      </c>
      <c r="H274" s="13">
        <v>2027</v>
      </c>
      <c r="I274" s="13">
        <v>2028</v>
      </c>
      <c r="J274" s="13">
        <v>2029</v>
      </c>
      <c r="K274" s="13">
        <v>2030</v>
      </c>
      <c r="L274" s="13">
        <v>2031</v>
      </c>
      <c r="M274" s="13">
        <v>2032</v>
      </c>
      <c r="N274" s="13" t="s">
        <v>3</v>
      </c>
      <c r="O274" s="13" t="s">
        <v>4</v>
      </c>
    </row>
    <row r="276" spans="1:15" x14ac:dyDescent="0.15">
      <c r="A276" s="51" t="s">
        <v>117</v>
      </c>
      <c r="B276" s="51"/>
      <c r="C276" s="51"/>
    </row>
    <row r="277" spans="1:15" x14ac:dyDescent="0.15">
      <c r="B277" s="51" t="s">
        <v>332</v>
      </c>
      <c r="C277" s="51"/>
      <c r="D277" s="13">
        <v>0</v>
      </c>
      <c r="E277" s="13">
        <v>-210</v>
      </c>
      <c r="F277" s="13">
        <v>-330</v>
      </c>
      <c r="G277" s="13">
        <v>-330</v>
      </c>
      <c r="H277" s="13">
        <v>-330</v>
      </c>
      <c r="I277" s="13">
        <v>-340</v>
      </c>
      <c r="J277" s="13">
        <v>-360</v>
      </c>
      <c r="K277" s="13">
        <v>-370</v>
      </c>
      <c r="L277" s="13">
        <v>-380</v>
      </c>
      <c r="M277" s="13">
        <v>-400</v>
      </c>
      <c r="N277" s="13">
        <v>-1200</v>
      </c>
      <c r="O277" s="13">
        <v>-3050</v>
      </c>
    </row>
    <row r="278" spans="1:15" x14ac:dyDescent="0.15">
      <c r="B278" s="51" t="s">
        <v>333</v>
      </c>
      <c r="C278" s="51"/>
      <c r="D278" s="13">
        <v>0</v>
      </c>
      <c r="E278" s="13">
        <v>-130</v>
      </c>
      <c r="F278" s="13">
        <v>-200</v>
      </c>
      <c r="G278" s="13">
        <v>-210</v>
      </c>
      <c r="H278" s="13">
        <v>-210</v>
      </c>
      <c r="I278" s="13">
        <v>-220</v>
      </c>
      <c r="J278" s="13">
        <v>-230</v>
      </c>
      <c r="K278" s="13">
        <v>-240</v>
      </c>
      <c r="L278" s="13">
        <v>-250</v>
      </c>
      <c r="M278" s="13">
        <v>-260</v>
      </c>
      <c r="N278" s="13">
        <v>-750</v>
      </c>
      <c r="O278" s="13">
        <v>-1950</v>
      </c>
    </row>
    <row r="281" spans="1:15" x14ac:dyDescent="0.15">
      <c r="A281" s="51" t="s">
        <v>225</v>
      </c>
      <c r="B281" s="51"/>
      <c r="C281" s="51"/>
    </row>
    <row r="282" spans="1:15" x14ac:dyDescent="0.15">
      <c r="A282" s="51" t="s">
        <v>90</v>
      </c>
      <c r="B282" s="51"/>
      <c r="C282" s="51"/>
    </row>
    <row r="283" spans="1:15" x14ac:dyDescent="0.15">
      <c r="A283" s="51" t="s">
        <v>244</v>
      </c>
      <c r="B283" s="51"/>
      <c r="C283" s="51"/>
    </row>
    <row r="284" spans="1:15" x14ac:dyDescent="0.15">
      <c r="A284" s="51" t="s">
        <v>334</v>
      </c>
      <c r="B284" s="51"/>
      <c r="C284" s="51"/>
    </row>
    <row r="285" spans="1:15" x14ac:dyDescent="0.15">
      <c r="A285" s="61" t="str">
        <f ca="1">HYPERLINK("#"&amp;CELL("address", Contents!A30), "Back to Table of Contents")</f>
        <v>Back to Table of Contents</v>
      </c>
      <c r="B285" s="61"/>
      <c r="C285" s="61"/>
    </row>
    <row r="287" spans="1:15" x14ac:dyDescent="0.15">
      <c r="A287" s="65" t="s">
        <v>103</v>
      </c>
      <c r="B287" s="65"/>
    </row>
    <row r="288" spans="1:15" x14ac:dyDescent="0.15">
      <c r="A288" s="65" t="s">
        <v>335</v>
      </c>
      <c r="B288" s="65"/>
      <c r="C288" s="65"/>
    </row>
    <row r="290" spans="1:15" x14ac:dyDescent="0.15">
      <c r="A290" s="51" t="s">
        <v>2</v>
      </c>
      <c r="B290" s="51"/>
      <c r="D290" s="13">
        <v>2023</v>
      </c>
      <c r="E290" s="13">
        <v>2024</v>
      </c>
      <c r="F290" s="13">
        <v>2025</v>
      </c>
      <c r="G290" s="13">
        <v>2026</v>
      </c>
      <c r="H290" s="13">
        <v>2027</v>
      </c>
      <c r="I290" s="13">
        <v>2028</v>
      </c>
      <c r="J290" s="13">
        <v>2029</v>
      </c>
      <c r="K290" s="13">
        <v>2030</v>
      </c>
      <c r="L290" s="13">
        <v>2031</v>
      </c>
      <c r="M290" s="13">
        <v>2032</v>
      </c>
      <c r="N290" s="13" t="s">
        <v>3</v>
      </c>
      <c r="O290" s="13" t="s">
        <v>4</v>
      </c>
    </row>
    <row r="292" spans="1:15" x14ac:dyDescent="0.15">
      <c r="A292" s="51" t="s">
        <v>117</v>
      </c>
      <c r="B292" s="51"/>
      <c r="C292" s="51"/>
    </row>
    <row r="293" spans="1:15" x14ac:dyDescent="0.15">
      <c r="B293" s="51" t="s">
        <v>336</v>
      </c>
      <c r="C293" s="51"/>
      <c r="D293" s="17">
        <v>-55.2</v>
      </c>
      <c r="E293" s="17">
        <v>-86.2</v>
      </c>
      <c r="F293" s="17">
        <v>-83.5</v>
      </c>
      <c r="G293" s="17">
        <v>-82.4</v>
      </c>
      <c r="H293" s="17">
        <v>-81.8</v>
      </c>
      <c r="I293" s="17">
        <v>-81.3</v>
      </c>
      <c r="J293" s="17">
        <v>-87.3</v>
      </c>
      <c r="K293" s="17">
        <v>-95.4</v>
      </c>
      <c r="L293" s="17">
        <v>-102.9</v>
      </c>
      <c r="M293" s="17">
        <v>-109.5</v>
      </c>
      <c r="N293" s="17">
        <v>-389</v>
      </c>
      <c r="O293" s="17">
        <v>-865.4</v>
      </c>
    </row>
    <row r="294" spans="1:15" x14ac:dyDescent="0.15">
      <c r="B294" s="51" t="s">
        <v>337</v>
      </c>
      <c r="C294" s="51"/>
      <c r="D294" s="17">
        <v>-55.2</v>
      </c>
      <c r="E294" s="17">
        <v>-84.7</v>
      </c>
      <c r="F294" s="17">
        <v>-80.400000000000006</v>
      </c>
      <c r="G294" s="17">
        <v>-77.3</v>
      </c>
      <c r="H294" s="17">
        <v>-74.900000000000006</v>
      </c>
      <c r="I294" s="17">
        <v>-72.2</v>
      </c>
      <c r="J294" s="17">
        <v>-75</v>
      </c>
      <c r="K294" s="17">
        <v>-79.599999999999895</v>
      </c>
      <c r="L294" s="17">
        <v>-83.4</v>
      </c>
      <c r="M294" s="17">
        <v>-86.2</v>
      </c>
      <c r="N294" s="17">
        <v>-372.5</v>
      </c>
      <c r="O294" s="17">
        <v>-768.9</v>
      </c>
    </row>
    <row r="295" spans="1:15" x14ac:dyDescent="0.15">
      <c r="B295" s="64" t="s">
        <v>338</v>
      </c>
      <c r="C295" s="64"/>
      <c r="D295" s="63">
        <v>-43.3</v>
      </c>
      <c r="E295" s="63">
        <v>-65.900000000000006</v>
      </c>
      <c r="F295" s="63">
        <v>-61</v>
      </c>
      <c r="G295" s="63">
        <v>-57.4</v>
      </c>
      <c r="H295" s="63">
        <v>-54.6</v>
      </c>
      <c r="I295" s="63">
        <v>-51.6</v>
      </c>
      <c r="J295" s="63">
        <v>-54</v>
      </c>
      <c r="K295" s="63">
        <v>-58.1</v>
      </c>
      <c r="L295" s="63">
        <v>-61.5</v>
      </c>
      <c r="M295" s="63">
        <v>-63.7</v>
      </c>
      <c r="N295" s="63">
        <v>-282.10000000000002</v>
      </c>
      <c r="O295" s="63">
        <v>-570.9</v>
      </c>
    </row>
    <row r="296" spans="1:15" x14ac:dyDescent="0.15">
      <c r="B296" s="64"/>
      <c r="C296" s="64"/>
      <c r="D296" s="63"/>
      <c r="E296" s="63"/>
      <c r="F296" s="63"/>
      <c r="G296" s="63"/>
      <c r="H296" s="63"/>
      <c r="I296" s="63"/>
      <c r="J296" s="63"/>
      <c r="K296" s="63"/>
      <c r="L296" s="63"/>
      <c r="M296" s="63"/>
      <c r="N296" s="63"/>
      <c r="O296" s="63"/>
    </row>
    <row r="299" spans="1:15" x14ac:dyDescent="0.15">
      <c r="A299" s="51" t="s">
        <v>257</v>
      </c>
      <c r="B299" s="51"/>
      <c r="C299" s="51"/>
    </row>
    <row r="300" spans="1:15" x14ac:dyDescent="0.15">
      <c r="A300" s="51" t="s">
        <v>24</v>
      </c>
      <c r="B300" s="51"/>
      <c r="C300" s="51"/>
    </row>
    <row r="301" spans="1:15" x14ac:dyDescent="0.15">
      <c r="A301" s="51" t="s">
        <v>244</v>
      </c>
      <c r="B301" s="51"/>
      <c r="C301" s="51"/>
    </row>
    <row r="302" spans="1:15" x14ac:dyDescent="0.15">
      <c r="A302" s="61" t="str">
        <f ca="1">HYPERLINK("#"&amp;CELL("address", Contents!A31), "Back to Table of Contents")</f>
        <v>Back to Table of Contents</v>
      </c>
      <c r="B302" s="61"/>
      <c r="C302" s="61"/>
    </row>
  </sheetData>
  <mergeCells count="222">
    <mergeCell ref="A7:C7"/>
    <mergeCell ref="A9:B9"/>
    <mergeCell ref="A12:C12"/>
    <mergeCell ref="B13:C13"/>
    <mergeCell ref="A16:C16"/>
    <mergeCell ref="B14:C14"/>
    <mergeCell ref="A1:O1"/>
    <mergeCell ref="A2:O2"/>
    <mergeCell ref="A25:C25"/>
    <mergeCell ref="B23:C23"/>
    <mergeCell ref="B22:C22"/>
    <mergeCell ref="A21:C21"/>
    <mergeCell ref="B18:C18"/>
    <mergeCell ref="B17:C17"/>
    <mergeCell ref="A4:C4"/>
    <mergeCell ref="D11:O11"/>
    <mergeCell ref="D20:O20"/>
    <mergeCell ref="D49:O49"/>
    <mergeCell ref="A36:O37"/>
    <mergeCell ref="A41:C41"/>
    <mergeCell ref="A43:B43"/>
    <mergeCell ref="A46:B46"/>
    <mergeCell ref="A47:C47"/>
    <mergeCell ref="B48:C48"/>
    <mergeCell ref="B27:C27"/>
    <mergeCell ref="B26:C26"/>
    <mergeCell ref="A31:C31"/>
    <mergeCell ref="A32:C32"/>
    <mergeCell ref="A33:O34"/>
    <mergeCell ref="A35:C35"/>
    <mergeCell ref="A38:C38"/>
    <mergeCell ref="D45:O45"/>
    <mergeCell ref="D53:O53"/>
    <mergeCell ref="A50:B50"/>
    <mergeCell ref="A51:C51"/>
    <mergeCell ref="B52:C52"/>
    <mergeCell ref="B56:C56"/>
    <mergeCell ref="A55:C55"/>
    <mergeCell ref="A54:B54"/>
    <mergeCell ref="A63:C63"/>
    <mergeCell ref="A66:C66"/>
    <mergeCell ref="A68:B68"/>
    <mergeCell ref="D74:O74"/>
    <mergeCell ref="D72:O72"/>
    <mergeCell ref="D70:O70"/>
    <mergeCell ref="A59:C59"/>
    <mergeCell ref="A60:C60"/>
    <mergeCell ref="A61:C61"/>
    <mergeCell ref="A62:C62"/>
    <mergeCell ref="B77:C77"/>
    <mergeCell ref="A76:C76"/>
    <mergeCell ref="A75:B75"/>
    <mergeCell ref="A73:B73"/>
    <mergeCell ref="A71:B71"/>
    <mergeCell ref="A84:C84"/>
    <mergeCell ref="A83:C83"/>
    <mergeCell ref="A82:C82"/>
    <mergeCell ref="A81:C81"/>
    <mergeCell ref="A80:C80"/>
    <mergeCell ref="A89:B89"/>
    <mergeCell ref="A87:C87"/>
    <mergeCell ref="A109:C109"/>
    <mergeCell ref="A108:C108"/>
    <mergeCell ref="A101:C101"/>
    <mergeCell ref="A103:B103"/>
    <mergeCell ref="A105:B105"/>
    <mergeCell ref="A98:C98"/>
    <mergeCell ref="A97:C97"/>
    <mergeCell ref="B94:C94"/>
    <mergeCell ref="B93:C93"/>
    <mergeCell ref="B92:C92"/>
    <mergeCell ref="A91:B91"/>
    <mergeCell ref="D116:O116"/>
    <mergeCell ref="D120:O120"/>
    <mergeCell ref="D124:O124"/>
    <mergeCell ref="A138:B138"/>
    <mergeCell ref="A136:C136"/>
    <mergeCell ref="A133:C133"/>
    <mergeCell ref="A132:C132"/>
    <mergeCell ref="A131:C131"/>
    <mergeCell ref="A130:C130"/>
    <mergeCell ref="B127:C127"/>
    <mergeCell ref="A118:C118"/>
    <mergeCell ref="A117:C117"/>
    <mergeCell ref="A114:B114"/>
    <mergeCell ref="A149:C149"/>
    <mergeCell ref="A148:C148"/>
    <mergeCell ref="A147:C147"/>
    <mergeCell ref="A146:C146"/>
    <mergeCell ref="B143:C143"/>
    <mergeCell ref="B142:C142"/>
    <mergeCell ref="B141:C141"/>
    <mergeCell ref="A126:C126"/>
    <mergeCell ref="A125:C125"/>
    <mergeCell ref="B123:C123"/>
    <mergeCell ref="A122:C122"/>
    <mergeCell ref="A121:C121"/>
    <mergeCell ref="B119:C119"/>
    <mergeCell ref="A140:B140"/>
    <mergeCell ref="A163:C163"/>
    <mergeCell ref="A162:C162"/>
    <mergeCell ref="A161:C161"/>
    <mergeCell ref="B158:C158"/>
    <mergeCell ref="B157:C157"/>
    <mergeCell ref="A156:B156"/>
    <mergeCell ref="A154:B154"/>
    <mergeCell ref="A152:C152"/>
    <mergeCell ref="B172:C172"/>
    <mergeCell ref="B171:C171"/>
    <mergeCell ref="A170:C170"/>
    <mergeCell ref="A168:B168"/>
    <mergeCell ref="A166:C166"/>
    <mergeCell ref="A178:F178"/>
    <mergeCell ref="A177:N177"/>
    <mergeCell ref="A176:C176"/>
    <mergeCell ref="A175:C175"/>
    <mergeCell ref="B201:C201"/>
    <mergeCell ref="A200:C200"/>
    <mergeCell ref="A198:B198"/>
    <mergeCell ref="A196:C196"/>
    <mergeCell ref="A195:B195"/>
    <mergeCell ref="A205:C205"/>
    <mergeCell ref="A179:C179"/>
    <mergeCell ref="A182:C182"/>
    <mergeCell ref="A181:B181"/>
    <mergeCell ref="A193:C193"/>
    <mergeCell ref="A192:C192"/>
    <mergeCell ref="A191:O191"/>
    <mergeCell ref="B188:C188"/>
    <mergeCell ref="B187:C187"/>
    <mergeCell ref="A186:C186"/>
    <mergeCell ref="A184:B184"/>
    <mergeCell ref="A207:C207"/>
    <mergeCell ref="A206:N206"/>
    <mergeCell ref="A209:B209"/>
    <mergeCell ref="A210:C210"/>
    <mergeCell ref="A221:C221"/>
    <mergeCell ref="A220:C220"/>
    <mergeCell ref="A219:C219"/>
    <mergeCell ref="B215:C215"/>
    <mergeCell ref="A214:C214"/>
    <mergeCell ref="A212:B212"/>
    <mergeCell ref="O232:O233"/>
    <mergeCell ref="N232:N233"/>
    <mergeCell ref="M232:M233"/>
    <mergeCell ref="L232:L233"/>
    <mergeCell ref="K232:K233"/>
    <mergeCell ref="J232:J233"/>
    <mergeCell ref="A224:C224"/>
    <mergeCell ref="A223:B223"/>
    <mergeCell ref="B232:C233"/>
    <mergeCell ref="I232:I233"/>
    <mergeCell ref="H232:H233"/>
    <mergeCell ref="G232:G233"/>
    <mergeCell ref="F232:F233"/>
    <mergeCell ref="E232:E233"/>
    <mergeCell ref="D232:D233"/>
    <mergeCell ref="B231:C231"/>
    <mergeCell ref="B230:C230"/>
    <mergeCell ref="B229:C229"/>
    <mergeCell ref="A228:C228"/>
    <mergeCell ref="A226:B226"/>
    <mergeCell ref="A242:C242"/>
    <mergeCell ref="A241:B241"/>
    <mergeCell ref="A255:C255"/>
    <mergeCell ref="A254:C254"/>
    <mergeCell ref="A253:C253"/>
    <mergeCell ref="A239:C239"/>
    <mergeCell ref="A238:C238"/>
    <mergeCell ref="A237:C237"/>
    <mergeCell ref="A236:C236"/>
    <mergeCell ref="B250:C250"/>
    <mergeCell ref="B249:C249"/>
    <mergeCell ref="B248:C248"/>
    <mergeCell ref="B247:C247"/>
    <mergeCell ref="A246:C246"/>
    <mergeCell ref="A244:B244"/>
    <mergeCell ref="B293:C293"/>
    <mergeCell ref="B277:C277"/>
    <mergeCell ref="A276:C276"/>
    <mergeCell ref="A274:B274"/>
    <mergeCell ref="A272:C272"/>
    <mergeCell ref="A260:B260"/>
    <mergeCell ref="A258:C258"/>
    <mergeCell ref="A257:B257"/>
    <mergeCell ref="A271:B271"/>
    <mergeCell ref="A285:C285"/>
    <mergeCell ref="A284:C284"/>
    <mergeCell ref="A283:C283"/>
    <mergeCell ref="A282:C282"/>
    <mergeCell ref="A281:C281"/>
    <mergeCell ref="B278:C278"/>
    <mergeCell ref="A269:C269"/>
    <mergeCell ref="A268:C268"/>
    <mergeCell ref="A267:C267"/>
    <mergeCell ref="B264:C264"/>
    <mergeCell ref="B263:C263"/>
    <mergeCell ref="A262:C262"/>
    <mergeCell ref="A299:C299"/>
    <mergeCell ref="A300:C300"/>
    <mergeCell ref="A301:C301"/>
    <mergeCell ref="A302:C302"/>
    <mergeCell ref="N182:O182"/>
    <mergeCell ref="N210:O210"/>
    <mergeCell ref="I295:I296"/>
    <mergeCell ref="H295:H296"/>
    <mergeCell ref="G295:G296"/>
    <mergeCell ref="F295:F296"/>
    <mergeCell ref="E295:E296"/>
    <mergeCell ref="D295:D296"/>
    <mergeCell ref="O295:O296"/>
    <mergeCell ref="N295:N296"/>
    <mergeCell ref="M295:M296"/>
    <mergeCell ref="L295:L296"/>
    <mergeCell ref="K295:K296"/>
    <mergeCell ref="J295:J296"/>
    <mergeCell ref="B295:C296"/>
    <mergeCell ref="B294:C294"/>
    <mergeCell ref="A287:B287"/>
    <mergeCell ref="A288:C288"/>
    <mergeCell ref="A290:B290"/>
    <mergeCell ref="A292:C292"/>
  </mergeCells>
  <hyperlinks>
    <hyperlink ref="A2" r:id="rId1" xr:uid="{CDEA3BAC-A459-4294-A627-3DF7DBD31EF7}"/>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54E24-8F93-4F6A-A1DF-B4770D390DE6}">
  <dimension ref="A1:O284"/>
  <sheetViews>
    <sheetView workbookViewId="0">
      <selection activeCell="A274" sqref="A274:O275"/>
    </sheetView>
  </sheetViews>
  <sheetFormatPr baseColWidth="10" defaultColWidth="9.1640625" defaultRowHeight="14" x14ac:dyDescent="0.15"/>
  <cols>
    <col min="1" max="1" width="9.1640625" style="1" customWidth="1"/>
    <col min="2" max="2" width="9.1640625" style="1"/>
    <col min="3" max="3" width="83.6640625" style="1" customWidth="1"/>
    <col min="4" max="13" width="8.83203125" style="13" customWidth="1"/>
    <col min="14" max="15" width="14.1640625" style="13" customWidth="1"/>
    <col min="16" max="16384" width="9.1640625" style="1"/>
  </cols>
  <sheetData>
    <row r="1" spans="1:15" x14ac:dyDescent="0.15">
      <c r="A1" s="67" t="s">
        <v>382</v>
      </c>
      <c r="B1" s="67"/>
      <c r="C1" s="67"/>
      <c r="D1" s="67"/>
      <c r="E1" s="67"/>
      <c r="F1" s="67"/>
      <c r="G1" s="67"/>
      <c r="H1" s="67"/>
      <c r="I1" s="67"/>
      <c r="J1" s="67"/>
      <c r="K1" s="67"/>
      <c r="L1" s="67"/>
      <c r="M1" s="67"/>
      <c r="N1" s="67"/>
      <c r="O1" s="67"/>
    </row>
    <row r="2" spans="1:15" x14ac:dyDescent="0.15">
      <c r="A2" s="61" t="s">
        <v>365</v>
      </c>
      <c r="B2" s="61"/>
      <c r="C2" s="61"/>
      <c r="D2" s="61"/>
      <c r="E2" s="61"/>
      <c r="F2" s="61"/>
      <c r="G2" s="61"/>
      <c r="H2" s="61"/>
      <c r="I2" s="61"/>
      <c r="J2" s="61"/>
      <c r="K2" s="61"/>
      <c r="L2" s="61"/>
      <c r="M2" s="61"/>
      <c r="N2" s="61"/>
      <c r="O2" s="61"/>
    </row>
    <row r="4" spans="1:15" x14ac:dyDescent="0.15">
      <c r="A4" s="65" t="s">
        <v>359</v>
      </c>
      <c r="B4" s="65"/>
      <c r="C4" s="65"/>
    </row>
    <row r="6" spans="1:15" x14ac:dyDescent="0.15">
      <c r="A6" s="14" t="s">
        <v>0</v>
      </c>
    </row>
    <row r="7" spans="1:15" x14ac:dyDescent="0.15">
      <c r="A7" s="65" t="s">
        <v>1</v>
      </c>
      <c r="B7" s="65"/>
      <c r="C7" s="65"/>
      <c r="O7" s="18" t="s">
        <v>168</v>
      </c>
    </row>
    <row r="9" spans="1:15" x14ac:dyDescent="0.15">
      <c r="A9" s="51" t="s">
        <v>2</v>
      </c>
      <c r="B9" s="51"/>
      <c r="D9" s="13">
        <v>2023</v>
      </c>
      <c r="E9" s="13">
        <v>2024</v>
      </c>
      <c r="F9" s="13">
        <v>2025</v>
      </c>
      <c r="G9" s="13">
        <v>2026</v>
      </c>
      <c r="H9" s="13">
        <v>2027</v>
      </c>
      <c r="I9" s="13">
        <v>2028</v>
      </c>
      <c r="J9" s="13">
        <v>2029</v>
      </c>
      <c r="K9" s="13">
        <v>2030</v>
      </c>
      <c r="L9" s="13">
        <v>2031</v>
      </c>
      <c r="M9" s="13">
        <v>2032</v>
      </c>
      <c r="N9" s="13" t="s">
        <v>3</v>
      </c>
      <c r="O9" s="13" t="s">
        <v>4</v>
      </c>
    </row>
    <row r="11" spans="1:15" x14ac:dyDescent="0.15">
      <c r="A11" s="51" t="s">
        <v>5</v>
      </c>
      <c r="B11" s="51"/>
      <c r="D11" s="13">
        <v>0</v>
      </c>
      <c r="E11" s="17">
        <v>-1.4</v>
      </c>
      <c r="F11" s="17">
        <v>-1.2</v>
      </c>
      <c r="G11" s="17">
        <v>-6</v>
      </c>
      <c r="H11" s="17">
        <v>-7.7</v>
      </c>
      <c r="I11" s="17">
        <v>-8.4</v>
      </c>
      <c r="J11" s="17">
        <v>-7.5</v>
      </c>
      <c r="K11" s="17">
        <v>-6</v>
      </c>
      <c r="L11" s="17">
        <v>-5.5</v>
      </c>
      <c r="M11" s="17">
        <v>-5.6</v>
      </c>
      <c r="N11" s="17">
        <v>-16.399999999999999</v>
      </c>
      <c r="O11" s="17">
        <v>-49.3</v>
      </c>
    </row>
    <row r="14" spans="1:15" x14ac:dyDescent="0.15">
      <c r="A14" s="51" t="s">
        <v>6</v>
      </c>
      <c r="B14" s="51"/>
      <c r="C14" s="51"/>
    </row>
    <row r="15" spans="1:15" x14ac:dyDescent="0.15">
      <c r="A15" s="61" t="str">
        <f ca="1">HYPERLINK("#"&amp;CELL("address", Contents!A35), "Back to Table of Contents")</f>
        <v>Back to Table of Contents</v>
      </c>
      <c r="B15" s="61"/>
      <c r="C15" s="61"/>
    </row>
    <row r="16" spans="1:15" s="12" customFormat="1" x14ac:dyDescent="0.15">
      <c r="D16" s="13"/>
      <c r="E16" s="13"/>
      <c r="F16" s="13"/>
      <c r="G16" s="13"/>
      <c r="H16" s="13"/>
      <c r="I16" s="13"/>
      <c r="J16" s="13"/>
      <c r="K16" s="13"/>
      <c r="L16" s="13"/>
      <c r="M16" s="13"/>
      <c r="N16" s="13"/>
      <c r="O16" s="13"/>
    </row>
    <row r="17" spans="1:15" x14ac:dyDescent="0.15">
      <c r="A17" s="14" t="s">
        <v>7</v>
      </c>
    </row>
    <row r="18" spans="1:15" x14ac:dyDescent="0.15">
      <c r="A18" s="65" t="s">
        <v>8</v>
      </c>
      <c r="B18" s="65"/>
      <c r="C18" s="65"/>
      <c r="O18" s="18" t="s">
        <v>168</v>
      </c>
    </row>
    <row r="20" spans="1:15" x14ac:dyDescent="0.15">
      <c r="A20" s="51" t="s">
        <v>2</v>
      </c>
      <c r="B20" s="51"/>
      <c r="D20" s="13">
        <v>2023</v>
      </c>
      <c r="E20" s="13">
        <v>2024</v>
      </c>
      <c r="F20" s="13">
        <v>2025</v>
      </c>
      <c r="G20" s="13">
        <v>2026</v>
      </c>
      <c r="H20" s="13">
        <v>2027</v>
      </c>
      <c r="I20" s="13">
        <v>2028</v>
      </c>
      <c r="J20" s="13">
        <v>2029</v>
      </c>
      <c r="K20" s="13">
        <v>2030</v>
      </c>
      <c r="L20" s="13">
        <v>2031</v>
      </c>
      <c r="M20" s="13">
        <v>2032</v>
      </c>
      <c r="N20" s="13" t="s">
        <v>3</v>
      </c>
      <c r="O20" s="13" t="s">
        <v>4</v>
      </c>
    </row>
    <row r="22" spans="1:15" x14ac:dyDescent="0.15">
      <c r="A22" s="51" t="s">
        <v>5</v>
      </c>
      <c r="B22" s="51"/>
    </row>
    <row r="23" spans="1:15" x14ac:dyDescent="0.15">
      <c r="B23" s="51" t="s">
        <v>9</v>
      </c>
      <c r="C23" s="51"/>
      <c r="D23" s="17">
        <v>-0.3</v>
      </c>
      <c r="E23" s="17">
        <v>-2.2999999999999998</v>
      </c>
      <c r="F23" s="17">
        <v>-2.2999999999999998</v>
      </c>
      <c r="G23" s="17">
        <v>-2.2999999999999998</v>
      </c>
      <c r="H23" s="17">
        <v>-2.2999999999999998</v>
      </c>
      <c r="I23" s="17">
        <v>-2.2999999999999998</v>
      </c>
      <c r="J23" s="17">
        <v>-2.2999999999999998</v>
      </c>
      <c r="K23" s="17">
        <v>-2.2999999999999998</v>
      </c>
      <c r="L23" s="17">
        <v>-2.4</v>
      </c>
      <c r="M23" s="17">
        <v>-2.4</v>
      </c>
      <c r="N23" s="17">
        <v>-9.1999999999999904</v>
      </c>
      <c r="O23" s="17">
        <v>-20.9</v>
      </c>
    </row>
    <row r="24" spans="1:15" x14ac:dyDescent="0.15">
      <c r="B24" s="51" t="s">
        <v>10</v>
      </c>
      <c r="C24" s="51"/>
      <c r="D24" s="19" t="s">
        <v>11</v>
      </c>
      <c r="E24" s="19" t="s">
        <v>12</v>
      </c>
      <c r="F24" s="19" t="s">
        <v>12</v>
      </c>
      <c r="G24" s="19" t="s">
        <v>12</v>
      </c>
      <c r="H24" s="19" t="s">
        <v>12</v>
      </c>
      <c r="I24" s="19" t="s">
        <v>12</v>
      </c>
      <c r="J24" s="19" t="s">
        <v>12</v>
      </c>
      <c r="K24" s="19" t="s">
        <v>12</v>
      </c>
      <c r="L24" s="19" t="s">
        <v>12</v>
      </c>
      <c r="M24" s="19" t="s">
        <v>12</v>
      </c>
      <c r="N24" s="19" t="s">
        <v>13</v>
      </c>
      <c r="O24" s="19" t="s">
        <v>14</v>
      </c>
    </row>
    <row r="25" spans="1:15" x14ac:dyDescent="0.15">
      <c r="C25" s="1" t="s">
        <v>15</v>
      </c>
      <c r="D25" s="17">
        <v>-0.5</v>
      </c>
      <c r="E25" s="17">
        <v>-3.1</v>
      </c>
      <c r="F25" s="17">
        <v>-3.1</v>
      </c>
      <c r="G25" s="17">
        <v>-3.1</v>
      </c>
      <c r="H25" s="17">
        <v>-3.1</v>
      </c>
      <c r="I25" s="17">
        <v>-3.1</v>
      </c>
      <c r="J25" s="17">
        <v>-3.1</v>
      </c>
      <c r="K25" s="17">
        <v>-3.1</v>
      </c>
      <c r="L25" s="17">
        <v>-3.2</v>
      </c>
      <c r="M25" s="17">
        <v>-3.2</v>
      </c>
      <c r="N25" s="17">
        <v>-12.6</v>
      </c>
      <c r="O25" s="17">
        <v>-28.3</v>
      </c>
    </row>
    <row r="28" spans="1:15" x14ac:dyDescent="0.15">
      <c r="A28" s="51" t="s">
        <v>16</v>
      </c>
      <c r="B28" s="51"/>
      <c r="C28" s="51"/>
    </row>
    <row r="29" spans="1:15" x14ac:dyDescent="0.15">
      <c r="A29" s="61" t="str">
        <f ca="1">HYPERLINK("#"&amp;CELL("address", Contents!A36), "Back to Table of Contents")</f>
        <v>Back to Table of Contents</v>
      </c>
      <c r="B29" s="61"/>
      <c r="C29" s="61"/>
    </row>
    <row r="30" spans="1:15" s="12" customFormat="1" x14ac:dyDescent="0.15">
      <c r="D30" s="13"/>
      <c r="E30" s="13"/>
      <c r="F30" s="13"/>
      <c r="G30" s="13"/>
      <c r="H30" s="13"/>
      <c r="I30" s="13"/>
      <c r="J30" s="13"/>
      <c r="K30" s="13"/>
      <c r="L30" s="13"/>
      <c r="M30" s="13"/>
      <c r="N30" s="13"/>
      <c r="O30" s="13"/>
    </row>
    <row r="31" spans="1:15" x14ac:dyDescent="0.15">
      <c r="A31" s="14" t="s">
        <v>17</v>
      </c>
    </row>
    <row r="32" spans="1:15" x14ac:dyDescent="0.15">
      <c r="A32" s="65" t="s">
        <v>18</v>
      </c>
      <c r="B32" s="65"/>
      <c r="C32" s="65"/>
      <c r="O32" s="18" t="s">
        <v>168</v>
      </c>
    </row>
    <row r="34" spans="1:15" x14ac:dyDescent="0.15">
      <c r="A34" s="51" t="s">
        <v>2</v>
      </c>
      <c r="B34" s="51"/>
      <c r="D34" s="13">
        <v>2023</v>
      </c>
      <c r="E34" s="13">
        <v>2024</v>
      </c>
      <c r="F34" s="13">
        <v>2025</v>
      </c>
      <c r="G34" s="13">
        <v>2026</v>
      </c>
      <c r="H34" s="13">
        <v>2027</v>
      </c>
      <c r="I34" s="13">
        <v>2028</v>
      </c>
      <c r="J34" s="13">
        <v>2029</v>
      </c>
      <c r="K34" s="13">
        <v>2030</v>
      </c>
      <c r="L34" s="13">
        <v>2031</v>
      </c>
      <c r="M34" s="13">
        <v>2032</v>
      </c>
      <c r="N34" s="13" t="s">
        <v>3</v>
      </c>
      <c r="O34" s="13" t="s">
        <v>4</v>
      </c>
    </row>
    <row r="36" spans="1:15" x14ac:dyDescent="0.15">
      <c r="A36" s="51" t="s">
        <v>5</v>
      </c>
      <c r="B36" s="51"/>
      <c r="D36" s="13">
        <v>0</v>
      </c>
      <c r="E36" s="13">
        <v>0</v>
      </c>
      <c r="F36" s="13">
        <v>0</v>
      </c>
      <c r="G36" s="17">
        <v>-3.1</v>
      </c>
      <c r="H36" s="17">
        <v>-4.2</v>
      </c>
      <c r="I36" s="17">
        <v>-4.5</v>
      </c>
      <c r="J36" s="17">
        <v>-4</v>
      </c>
      <c r="K36" s="17">
        <v>-3</v>
      </c>
      <c r="L36" s="17">
        <v>-2.7</v>
      </c>
      <c r="M36" s="17">
        <v>-2.8</v>
      </c>
      <c r="N36" s="17">
        <v>-7.3</v>
      </c>
      <c r="O36" s="17">
        <v>-24.4</v>
      </c>
    </row>
    <row r="39" spans="1:15" x14ac:dyDescent="0.15">
      <c r="A39" s="51" t="s">
        <v>19</v>
      </c>
      <c r="B39" s="51"/>
      <c r="C39" s="51"/>
    </row>
    <row r="40" spans="1:15" s="12" customFormat="1" x14ac:dyDescent="0.15">
      <c r="A40" s="61" t="str">
        <f ca="1">HYPERLINK("#"&amp;CELL("address", Contents!A37), "Back to Table of Contents")</f>
        <v>Back to Table of Contents</v>
      </c>
      <c r="B40" s="61"/>
      <c r="C40" s="61"/>
      <c r="D40" s="13"/>
      <c r="E40" s="13"/>
      <c r="F40" s="13"/>
      <c r="G40" s="13"/>
      <c r="H40" s="13"/>
      <c r="I40" s="13"/>
      <c r="J40" s="13"/>
      <c r="K40" s="13"/>
      <c r="L40" s="13"/>
      <c r="M40" s="13"/>
      <c r="N40" s="13"/>
      <c r="O40" s="13"/>
    </row>
    <row r="42" spans="1:15" x14ac:dyDescent="0.15">
      <c r="A42" s="14" t="s">
        <v>20</v>
      </c>
    </row>
    <row r="43" spans="1:15" x14ac:dyDescent="0.15">
      <c r="A43" s="65" t="s">
        <v>21</v>
      </c>
      <c r="B43" s="65"/>
      <c r="C43" s="65"/>
      <c r="O43" s="18" t="s">
        <v>169</v>
      </c>
    </row>
    <row r="45" spans="1:15" x14ac:dyDescent="0.15">
      <c r="A45" s="1" t="s">
        <v>2</v>
      </c>
      <c r="D45" s="13">
        <v>2023</v>
      </c>
      <c r="E45" s="13">
        <v>2024</v>
      </c>
      <c r="F45" s="13">
        <v>2025</v>
      </c>
      <c r="G45" s="13">
        <v>2026</v>
      </c>
      <c r="H45" s="13">
        <v>2027</v>
      </c>
      <c r="I45" s="13">
        <v>2028</v>
      </c>
      <c r="J45" s="13">
        <v>2029</v>
      </c>
      <c r="K45" s="13">
        <v>2030</v>
      </c>
      <c r="L45" s="13">
        <v>2031</v>
      </c>
      <c r="M45" s="13">
        <v>2032</v>
      </c>
      <c r="N45" s="13" t="s">
        <v>3</v>
      </c>
      <c r="O45" s="13" t="s">
        <v>4</v>
      </c>
    </row>
    <row r="47" spans="1:15" ht="15" x14ac:dyDescent="0.15">
      <c r="A47" s="1" t="s">
        <v>172</v>
      </c>
    </row>
    <row r="48" spans="1:15" x14ac:dyDescent="0.15">
      <c r="B48" s="51" t="s">
        <v>22</v>
      </c>
      <c r="C48" s="51"/>
      <c r="D48" s="17">
        <v>-1.4</v>
      </c>
      <c r="E48" s="17">
        <v>-1.6</v>
      </c>
      <c r="F48" s="17">
        <v>-1.7</v>
      </c>
      <c r="G48" s="17">
        <v>-1.4</v>
      </c>
      <c r="H48" s="17">
        <v>-0.8</v>
      </c>
      <c r="I48" s="17">
        <v>-0.6</v>
      </c>
      <c r="J48" s="17">
        <v>-0.7</v>
      </c>
      <c r="K48" s="17">
        <v>-0.9</v>
      </c>
      <c r="L48" s="17">
        <v>-0.9</v>
      </c>
      <c r="M48" s="17">
        <v>-1.1000000000000001</v>
      </c>
      <c r="N48" s="17">
        <v>-6.9</v>
      </c>
      <c r="O48" s="17">
        <v>-11.1</v>
      </c>
    </row>
    <row r="49" spans="1:15" x14ac:dyDescent="0.15">
      <c r="B49" s="51" t="s">
        <v>23</v>
      </c>
      <c r="C49" s="51"/>
      <c r="D49" s="17">
        <v>-0.3</v>
      </c>
      <c r="E49" s="17">
        <v>-0.7</v>
      </c>
      <c r="F49" s="17">
        <v>-0.9</v>
      </c>
      <c r="G49" s="17">
        <v>-0.9</v>
      </c>
      <c r="H49" s="17">
        <v>-0.7</v>
      </c>
      <c r="I49" s="17">
        <v>-0.5</v>
      </c>
      <c r="J49" s="17">
        <v>-0.6</v>
      </c>
      <c r="K49" s="17">
        <v>-0.6</v>
      </c>
      <c r="L49" s="17">
        <v>-0.8</v>
      </c>
      <c r="M49" s="17">
        <v>-1.1000000000000001</v>
      </c>
      <c r="N49" s="17">
        <v>-3.5</v>
      </c>
      <c r="O49" s="17">
        <v>-7.1</v>
      </c>
    </row>
    <row r="50" spans="1:15" ht="15" x14ac:dyDescent="0.15">
      <c r="B50" s="51" t="s">
        <v>173</v>
      </c>
      <c r="C50" s="51"/>
      <c r="D50" s="17">
        <v>-1.5</v>
      </c>
      <c r="E50" s="17">
        <v>-2.1</v>
      </c>
      <c r="F50" s="17">
        <v>-2.2999999999999998</v>
      </c>
      <c r="G50" s="17">
        <v>-2</v>
      </c>
      <c r="H50" s="17">
        <v>-1.3</v>
      </c>
      <c r="I50" s="17">
        <v>-1</v>
      </c>
      <c r="J50" s="17">
        <v>-1.1000000000000001</v>
      </c>
      <c r="K50" s="17">
        <v>-1.2</v>
      </c>
      <c r="L50" s="17">
        <v>-1.4</v>
      </c>
      <c r="M50" s="17">
        <v>-1.7</v>
      </c>
      <c r="N50" s="17">
        <v>-9.1999999999999904</v>
      </c>
      <c r="O50" s="17">
        <v>-15.6</v>
      </c>
    </row>
    <row r="53" spans="1:15" x14ac:dyDescent="0.15">
      <c r="A53" s="1" t="s">
        <v>24</v>
      </c>
    </row>
    <row r="54" spans="1:15" ht="14.25" customHeight="1" x14ac:dyDescent="0.15">
      <c r="A54" s="64" t="s">
        <v>25</v>
      </c>
      <c r="B54" s="64"/>
      <c r="C54" s="64"/>
      <c r="D54" s="64"/>
      <c r="E54" s="64"/>
      <c r="F54" s="64"/>
      <c r="G54" s="64"/>
      <c r="H54" s="64"/>
      <c r="I54" s="64"/>
      <c r="J54" s="64"/>
      <c r="K54" s="64"/>
      <c r="L54" s="64"/>
      <c r="M54" s="64"/>
      <c r="N54" s="64"/>
      <c r="O54" s="64"/>
    </row>
    <row r="55" spans="1:15" x14ac:dyDescent="0.15">
      <c r="A55" s="64"/>
      <c r="B55" s="64"/>
      <c r="C55" s="64"/>
      <c r="D55" s="64"/>
      <c r="E55" s="64"/>
      <c r="F55" s="64"/>
      <c r="G55" s="64"/>
      <c r="H55" s="64"/>
      <c r="I55" s="64"/>
      <c r="J55" s="64"/>
      <c r="K55" s="64"/>
      <c r="L55" s="64"/>
      <c r="M55" s="64"/>
      <c r="N55" s="64"/>
      <c r="O55" s="64"/>
    </row>
    <row r="56" spans="1:15" x14ac:dyDescent="0.15">
      <c r="A56" s="1" t="s">
        <v>26</v>
      </c>
    </row>
    <row r="57" spans="1:15" s="12" customFormat="1" x14ac:dyDescent="0.15">
      <c r="A57" s="61" t="str">
        <f ca="1">HYPERLINK("#"&amp;CELL("address", Contents!A38), "Back to Table of Contents")</f>
        <v>Back to Table of Contents</v>
      </c>
      <c r="B57" s="61"/>
      <c r="C57" s="61"/>
      <c r="D57" s="13"/>
      <c r="E57" s="13"/>
      <c r="F57" s="13"/>
      <c r="G57" s="13"/>
      <c r="H57" s="13"/>
      <c r="I57" s="13"/>
      <c r="J57" s="13"/>
      <c r="K57" s="13"/>
      <c r="L57" s="13"/>
      <c r="M57" s="13"/>
      <c r="N57" s="13"/>
      <c r="O57" s="13"/>
    </row>
    <row r="59" spans="1:15" x14ac:dyDescent="0.15">
      <c r="A59" s="14" t="s">
        <v>27</v>
      </c>
    </row>
    <row r="60" spans="1:15" x14ac:dyDescent="0.15">
      <c r="A60" s="65" t="s">
        <v>28</v>
      </c>
      <c r="B60" s="65"/>
      <c r="C60" s="65"/>
      <c r="O60" s="18" t="s">
        <v>170</v>
      </c>
    </row>
    <row r="62" spans="1:15" x14ac:dyDescent="0.15">
      <c r="A62" s="51" t="s">
        <v>2</v>
      </c>
      <c r="B62" s="51"/>
      <c r="D62" s="13">
        <v>2023</v>
      </c>
      <c r="E62" s="13">
        <v>2024</v>
      </c>
      <c r="F62" s="13">
        <v>2025</v>
      </c>
      <c r="G62" s="13">
        <v>2026</v>
      </c>
      <c r="H62" s="13">
        <v>2027</v>
      </c>
      <c r="I62" s="13">
        <v>2028</v>
      </c>
      <c r="J62" s="13">
        <v>2029</v>
      </c>
      <c r="K62" s="13">
        <v>2030</v>
      </c>
      <c r="L62" s="13">
        <v>2031</v>
      </c>
      <c r="M62" s="13">
        <v>2032</v>
      </c>
      <c r="N62" s="13" t="s">
        <v>3</v>
      </c>
      <c r="O62" s="13" t="s">
        <v>4</v>
      </c>
    </row>
    <row r="64" spans="1:15" x14ac:dyDescent="0.15">
      <c r="A64" s="51" t="s">
        <v>29</v>
      </c>
      <c r="B64" s="51"/>
      <c r="C64" s="51"/>
      <c r="D64" s="17">
        <v>-1.3</v>
      </c>
      <c r="E64" s="17">
        <v>-4.9000000000000004</v>
      </c>
      <c r="F64" s="17">
        <v>-5.0999999999999996</v>
      </c>
      <c r="G64" s="17">
        <v>-5.2</v>
      </c>
      <c r="H64" s="17">
        <v>-5.4</v>
      </c>
      <c r="I64" s="17">
        <v>-5.5</v>
      </c>
      <c r="J64" s="17">
        <v>-5.7</v>
      </c>
      <c r="K64" s="17">
        <v>-5.8</v>
      </c>
      <c r="L64" s="17">
        <v>-6</v>
      </c>
      <c r="M64" s="17">
        <v>-6.1</v>
      </c>
      <c r="N64" s="17">
        <v>-21.9</v>
      </c>
      <c r="O64" s="17">
        <v>-51.1</v>
      </c>
    </row>
    <row r="65" spans="1:15" x14ac:dyDescent="0.15">
      <c r="A65" s="51" t="s">
        <v>30</v>
      </c>
      <c r="B65" s="51"/>
      <c r="C65" s="51"/>
    </row>
    <row r="66" spans="1:15" x14ac:dyDescent="0.15">
      <c r="B66" s="51" t="s">
        <v>31</v>
      </c>
      <c r="C66" s="51"/>
      <c r="D66" s="17">
        <v>-0.1</v>
      </c>
      <c r="E66" s="17">
        <v>-0.2</v>
      </c>
      <c r="F66" s="17">
        <v>-0.2</v>
      </c>
      <c r="G66" s="17">
        <v>-0.2</v>
      </c>
      <c r="H66" s="17">
        <v>-0.2</v>
      </c>
      <c r="I66" s="17">
        <v>-0.1</v>
      </c>
      <c r="J66" s="17">
        <v>-0.1</v>
      </c>
      <c r="K66" s="17">
        <v>-0.1</v>
      </c>
      <c r="L66" s="17">
        <v>-0.1</v>
      </c>
      <c r="M66" s="17">
        <v>-0.1</v>
      </c>
      <c r="N66" s="17">
        <v>-0.9</v>
      </c>
      <c r="O66" s="17">
        <v>-1.6</v>
      </c>
    </row>
    <row r="67" spans="1:15" x14ac:dyDescent="0.15">
      <c r="B67" s="1" t="s">
        <v>32</v>
      </c>
      <c r="D67" s="17" t="s">
        <v>33</v>
      </c>
      <c r="E67" s="17">
        <v>-0.2</v>
      </c>
      <c r="F67" s="17">
        <v>-0.2</v>
      </c>
      <c r="G67" s="17">
        <v>-0.2</v>
      </c>
      <c r="H67" s="17">
        <v>-0.2</v>
      </c>
      <c r="I67" s="17">
        <v>-0.2</v>
      </c>
      <c r="J67" s="17">
        <v>-0.1</v>
      </c>
      <c r="K67" s="17">
        <v>-0.1</v>
      </c>
      <c r="L67" s="17">
        <v>-0.1</v>
      </c>
      <c r="M67" s="17">
        <v>-0.1</v>
      </c>
      <c r="N67" s="17">
        <v>-0.8</v>
      </c>
      <c r="O67" s="17">
        <v>-1.5</v>
      </c>
    </row>
    <row r="70" spans="1:15" x14ac:dyDescent="0.15">
      <c r="A70" s="51" t="s">
        <v>34</v>
      </c>
      <c r="B70" s="51"/>
      <c r="C70" s="51"/>
    </row>
    <row r="71" spans="1:15" x14ac:dyDescent="0.15">
      <c r="A71" s="51" t="s">
        <v>35</v>
      </c>
      <c r="B71" s="51"/>
      <c r="C71" s="51"/>
      <c r="D71" s="51"/>
      <c r="E71" s="51"/>
      <c r="F71" s="51"/>
      <c r="G71" s="51"/>
      <c r="H71" s="51"/>
      <c r="I71" s="51"/>
      <c r="J71" s="51"/>
      <c r="K71" s="51"/>
      <c r="L71" s="51"/>
      <c r="M71" s="51"/>
    </row>
    <row r="72" spans="1:15" x14ac:dyDescent="0.15">
      <c r="A72" s="51" t="s">
        <v>36</v>
      </c>
      <c r="B72" s="51"/>
      <c r="C72" s="51"/>
    </row>
    <row r="73" spans="1:15" x14ac:dyDescent="0.15">
      <c r="A73" s="61" t="str">
        <f ca="1">HYPERLINK("#"&amp;CELL("address", Contents!A39), "Back to Table of Contents")</f>
        <v>Back to Table of Contents</v>
      </c>
      <c r="B73" s="61"/>
      <c r="C73" s="61"/>
    </row>
    <row r="75" spans="1:15" x14ac:dyDescent="0.15">
      <c r="A75" s="14" t="s">
        <v>37</v>
      </c>
    </row>
    <row r="76" spans="1:15" x14ac:dyDescent="0.15">
      <c r="A76" s="65" t="s">
        <v>38</v>
      </c>
      <c r="B76" s="65"/>
      <c r="C76" s="65"/>
      <c r="D76" s="65"/>
      <c r="O76" s="18" t="s">
        <v>171</v>
      </c>
    </row>
    <row r="78" spans="1:15" x14ac:dyDescent="0.15">
      <c r="A78" s="51" t="s">
        <v>2</v>
      </c>
      <c r="B78" s="51"/>
      <c r="D78" s="13">
        <v>2023</v>
      </c>
      <c r="E78" s="13">
        <v>2024</v>
      </c>
      <c r="F78" s="13">
        <v>2025</v>
      </c>
      <c r="G78" s="13">
        <v>2026</v>
      </c>
      <c r="H78" s="13">
        <v>2027</v>
      </c>
      <c r="I78" s="13">
        <v>2028</v>
      </c>
      <c r="J78" s="13">
        <v>2029</v>
      </c>
      <c r="K78" s="13">
        <v>2030</v>
      </c>
      <c r="L78" s="13">
        <v>2031</v>
      </c>
      <c r="M78" s="13">
        <v>2032</v>
      </c>
      <c r="N78" s="13" t="s">
        <v>3</v>
      </c>
      <c r="O78" s="13" t="s">
        <v>4</v>
      </c>
    </row>
    <row r="80" spans="1:15" x14ac:dyDescent="0.15">
      <c r="D80" s="66" t="s">
        <v>39</v>
      </c>
      <c r="E80" s="66"/>
      <c r="F80" s="66"/>
      <c r="G80" s="66"/>
      <c r="H80" s="66"/>
      <c r="I80" s="66"/>
      <c r="J80" s="66"/>
      <c r="K80" s="66"/>
      <c r="L80" s="66"/>
      <c r="M80" s="66"/>
      <c r="N80" s="66"/>
      <c r="O80" s="66"/>
    </row>
    <row r="81" spans="1:15" ht="15" x14ac:dyDescent="0.15">
      <c r="A81" s="51" t="s">
        <v>180</v>
      </c>
      <c r="B81" s="51"/>
      <c r="C81" s="51"/>
      <c r="D81" s="13">
        <v>0</v>
      </c>
      <c r="E81" s="13">
        <v>0</v>
      </c>
      <c r="F81" s="17" t="s">
        <v>33</v>
      </c>
      <c r="G81" s="17">
        <v>-0.5</v>
      </c>
      <c r="H81" s="17">
        <v>-1.2</v>
      </c>
      <c r="I81" s="17">
        <v>-1.9</v>
      </c>
      <c r="J81" s="17">
        <v>-2.5</v>
      </c>
      <c r="K81" s="17">
        <v>-3.1</v>
      </c>
      <c r="L81" s="17">
        <v>-3.7</v>
      </c>
      <c r="M81" s="17">
        <v>-4.3</v>
      </c>
      <c r="N81" s="17">
        <v>-1.7</v>
      </c>
      <c r="O81" s="17">
        <v>-17.3</v>
      </c>
    </row>
    <row r="82" spans="1:15" ht="15" x14ac:dyDescent="0.15">
      <c r="A82" s="51" t="s">
        <v>181</v>
      </c>
      <c r="B82" s="51"/>
      <c r="C82" s="51"/>
      <c r="D82" s="13">
        <v>0</v>
      </c>
      <c r="E82" s="13">
        <v>0</v>
      </c>
      <c r="F82" s="17" t="s">
        <v>33</v>
      </c>
      <c r="G82" s="17" t="s">
        <v>33</v>
      </c>
      <c r="H82" s="17" t="s">
        <v>33</v>
      </c>
      <c r="I82" s="17">
        <v>-0.1</v>
      </c>
      <c r="J82" s="17">
        <v>-0.2</v>
      </c>
      <c r="K82" s="17">
        <v>-0.3</v>
      </c>
      <c r="L82" s="17">
        <v>-0.4</v>
      </c>
      <c r="M82" s="17">
        <v>-0.4</v>
      </c>
      <c r="N82" s="17">
        <v>-0.1</v>
      </c>
      <c r="O82" s="17">
        <v>-1.4</v>
      </c>
    </row>
    <row r="83" spans="1:15" ht="15" x14ac:dyDescent="0.15">
      <c r="A83" s="20"/>
      <c r="B83" s="28" t="s">
        <v>182</v>
      </c>
      <c r="C83" s="28"/>
      <c r="D83" s="27">
        <v>0</v>
      </c>
      <c r="E83" s="27">
        <v>0</v>
      </c>
      <c r="F83" s="21" t="s">
        <v>33</v>
      </c>
      <c r="G83" s="21">
        <v>-0.5</v>
      </c>
      <c r="H83" s="21">
        <v>-1.1000000000000001</v>
      </c>
      <c r="I83" s="21">
        <v>-1.8</v>
      </c>
      <c r="J83" s="21">
        <v>-2.2999999999999998</v>
      </c>
      <c r="K83" s="21">
        <v>-2.9</v>
      </c>
      <c r="L83" s="21">
        <v>-3.4</v>
      </c>
      <c r="M83" s="21">
        <v>-4</v>
      </c>
      <c r="N83" s="21">
        <v>-1.6</v>
      </c>
      <c r="O83" s="21">
        <v>-16.100000000000001</v>
      </c>
    </row>
    <row r="84" spans="1:15" x14ac:dyDescent="0.15">
      <c r="A84" s="51" t="s">
        <v>30</v>
      </c>
      <c r="B84" s="51"/>
      <c r="C84" s="51"/>
    </row>
    <row r="85" spans="1:15" x14ac:dyDescent="0.15">
      <c r="B85" s="51" t="s">
        <v>31</v>
      </c>
      <c r="C85" s="51"/>
      <c r="D85" s="13">
        <v>0</v>
      </c>
      <c r="E85" s="13">
        <v>0</v>
      </c>
      <c r="F85" s="17">
        <v>-0.4</v>
      </c>
      <c r="G85" s="17">
        <v>-1</v>
      </c>
      <c r="H85" s="17">
        <v>-1.7</v>
      </c>
      <c r="I85" s="17">
        <v>-2.5</v>
      </c>
      <c r="J85" s="17">
        <v>-3.2</v>
      </c>
      <c r="K85" s="17">
        <v>-3.9</v>
      </c>
      <c r="L85" s="17">
        <v>-4.5999999999999996</v>
      </c>
      <c r="M85" s="17">
        <v>-5.4</v>
      </c>
      <c r="N85" s="17">
        <v>-3.1</v>
      </c>
      <c r="O85" s="17">
        <v>-22.8</v>
      </c>
    </row>
    <row r="86" spans="1:15" x14ac:dyDescent="0.15">
      <c r="B86" s="1" t="s">
        <v>32</v>
      </c>
      <c r="D86" s="13">
        <v>0</v>
      </c>
      <c r="E86" s="13">
        <v>0</v>
      </c>
      <c r="F86" s="17">
        <v>-0.4</v>
      </c>
      <c r="G86" s="17">
        <v>-1</v>
      </c>
      <c r="H86" s="17">
        <v>-1.7</v>
      </c>
      <c r="I86" s="17">
        <v>-2.5</v>
      </c>
      <c r="J86" s="17">
        <v>-3.2</v>
      </c>
      <c r="K86" s="17">
        <v>-3.9</v>
      </c>
      <c r="L86" s="17">
        <v>-4.5999999999999996</v>
      </c>
      <c r="M86" s="17">
        <v>-5.4</v>
      </c>
      <c r="N86" s="17">
        <v>-3.1</v>
      </c>
      <c r="O86" s="17">
        <v>-22.8</v>
      </c>
    </row>
    <row r="87" spans="1:15" x14ac:dyDescent="0.15">
      <c r="D87" s="66" t="s">
        <v>40</v>
      </c>
      <c r="E87" s="66"/>
      <c r="F87" s="66"/>
      <c r="G87" s="66"/>
      <c r="H87" s="66"/>
      <c r="I87" s="66"/>
      <c r="J87" s="66"/>
      <c r="K87" s="66"/>
      <c r="L87" s="66"/>
      <c r="M87" s="66"/>
      <c r="N87" s="66"/>
      <c r="O87" s="66"/>
    </row>
    <row r="88" spans="1:15" ht="15" x14ac:dyDescent="0.15">
      <c r="A88" s="51" t="s">
        <v>180</v>
      </c>
      <c r="B88" s="51"/>
      <c r="C88" s="51"/>
      <c r="D88" s="13">
        <v>0</v>
      </c>
      <c r="E88" s="13">
        <v>0</v>
      </c>
      <c r="F88" s="17">
        <v>-0.1</v>
      </c>
      <c r="G88" s="17">
        <v>-0.6</v>
      </c>
      <c r="H88" s="17">
        <v>-1.4</v>
      </c>
      <c r="I88" s="17">
        <v>-2.1</v>
      </c>
      <c r="J88" s="17">
        <v>-2.8</v>
      </c>
      <c r="K88" s="17">
        <v>-3.5</v>
      </c>
      <c r="L88" s="17">
        <v>-4.0999999999999996</v>
      </c>
      <c r="M88" s="17">
        <v>-4.9000000000000004</v>
      </c>
      <c r="N88" s="17">
        <v>-2.1</v>
      </c>
      <c r="O88" s="17">
        <v>-19.600000000000001</v>
      </c>
    </row>
    <row r="89" spans="1:15" ht="15" x14ac:dyDescent="0.15">
      <c r="A89" s="51" t="s">
        <v>181</v>
      </c>
      <c r="B89" s="51"/>
      <c r="C89" s="51"/>
      <c r="D89" s="13">
        <v>0</v>
      </c>
      <c r="E89" s="13">
        <v>0</v>
      </c>
      <c r="F89" s="17" t="s">
        <v>33</v>
      </c>
      <c r="G89" s="17" t="s">
        <v>33</v>
      </c>
      <c r="H89" s="17" t="s">
        <v>33</v>
      </c>
      <c r="I89" s="17">
        <v>-0.2</v>
      </c>
      <c r="J89" s="17">
        <v>-0.2</v>
      </c>
      <c r="K89" s="17">
        <v>-0.3</v>
      </c>
      <c r="L89" s="17">
        <v>-0.3</v>
      </c>
      <c r="M89" s="17">
        <v>-0.4</v>
      </c>
      <c r="N89" s="17">
        <v>-0.1</v>
      </c>
      <c r="O89" s="17">
        <v>-1.5</v>
      </c>
    </row>
    <row r="90" spans="1:15" ht="15" x14ac:dyDescent="0.15">
      <c r="A90" s="20"/>
      <c r="B90" s="68" t="s">
        <v>182</v>
      </c>
      <c r="C90" s="68"/>
      <c r="D90" s="27">
        <v>0</v>
      </c>
      <c r="E90" s="27">
        <v>0</v>
      </c>
      <c r="F90" s="21">
        <v>-0.1</v>
      </c>
      <c r="G90" s="21">
        <v>-0.6</v>
      </c>
      <c r="H90" s="21">
        <v>-1.3</v>
      </c>
      <c r="I90" s="21">
        <v>-2</v>
      </c>
      <c r="J90" s="21">
        <v>-2.6</v>
      </c>
      <c r="K90" s="21">
        <v>-3.2</v>
      </c>
      <c r="L90" s="21">
        <v>-3.8</v>
      </c>
      <c r="M90" s="21">
        <v>-4.5</v>
      </c>
      <c r="N90" s="21">
        <v>-2</v>
      </c>
      <c r="O90" s="21">
        <v>-18.100000000000001</v>
      </c>
    </row>
    <row r="91" spans="1:15" x14ac:dyDescent="0.15">
      <c r="A91" s="51" t="s">
        <v>30</v>
      </c>
      <c r="B91" s="51"/>
      <c r="C91" s="51"/>
    </row>
    <row r="92" spans="1:15" x14ac:dyDescent="0.15">
      <c r="B92" s="26" t="s">
        <v>31</v>
      </c>
      <c r="C92" s="26"/>
      <c r="D92" s="13">
        <v>0</v>
      </c>
      <c r="E92" s="13">
        <v>0</v>
      </c>
      <c r="F92" s="17">
        <v>-0.5</v>
      </c>
      <c r="G92" s="17">
        <v>-1.1000000000000001</v>
      </c>
      <c r="H92" s="17">
        <v>-1.9</v>
      </c>
      <c r="I92" s="17">
        <v>-2.8</v>
      </c>
      <c r="J92" s="17">
        <v>-3.6</v>
      </c>
      <c r="K92" s="17">
        <v>-4.3</v>
      </c>
      <c r="L92" s="17">
        <v>-5.0999999999999996</v>
      </c>
      <c r="M92" s="17">
        <v>-6</v>
      </c>
      <c r="N92" s="17">
        <v>-3.5</v>
      </c>
      <c r="O92" s="17">
        <v>-25.3</v>
      </c>
    </row>
    <row r="93" spans="1:15" x14ac:dyDescent="0.15">
      <c r="B93" s="1" t="s">
        <v>32</v>
      </c>
      <c r="D93" s="13">
        <v>0</v>
      </c>
      <c r="E93" s="13">
        <v>0</v>
      </c>
      <c r="F93" s="17">
        <v>-0.5</v>
      </c>
      <c r="G93" s="17">
        <v>-1.1000000000000001</v>
      </c>
      <c r="H93" s="17">
        <v>-1.9</v>
      </c>
      <c r="I93" s="17">
        <v>-2.8</v>
      </c>
      <c r="J93" s="17">
        <v>-3.6</v>
      </c>
      <c r="K93" s="17">
        <v>-4.3</v>
      </c>
      <c r="L93" s="17">
        <v>-5.0999999999999996</v>
      </c>
      <c r="M93" s="17">
        <v>-6</v>
      </c>
      <c r="N93" s="17">
        <v>-3.5</v>
      </c>
      <c r="O93" s="17">
        <v>-25.3</v>
      </c>
    </row>
    <row r="96" spans="1:15" x14ac:dyDescent="0.15">
      <c r="A96" s="51" t="s">
        <v>41</v>
      </c>
      <c r="B96" s="51"/>
      <c r="C96" s="51"/>
    </row>
    <row r="97" spans="1:15" x14ac:dyDescent="0.15">
      <c r="A97" s="51" t="s">
        <v>42</v>
      </c>
      <c r="B97" s="51"/>
      <c r="C97" s="51"/>
    </row>
    <row r="98" spans="1:15" x14ac:dyDescent="0.15">
      <c r="A98" s="51" t="s">
        <v>43</v>
      </c>
      <c r="B98" s="51"/>
      <c r="C98" s="51"/>
    </row>
    <row r="99" spans="1:15" x14ac:dyDescent="0.15">
      <c r="A99" s="51" t="s">
        <v>44</v>
      </c>
      <c r="B99" s="51"/>
      <c r="C99" s="51"/>
    </row>
    <row r="100" spans="1:15" x14ac:dyDescent="0.15">
      <c r="A100" s="51" t="s">
        <v>45</v>
      </c>
      <c r="B100" s="51"/>
      <c r="C100" s="51"/>
    </row>
    <row r="101" spans="1:15" ht="14.25" customHeight="1" x14ac:dyDescent="0.15">
      <c r="A101" s="64" t="s">
        <v>46</v>
      </c>
      <c r="B101" s="64"/>
      <c r="C101" s="64"/>
      <c r="D101" s="64"/>
      <c r="E101" s="64"/>
      <c r="F101" s="64"/>
      <c r="G101" s="64"/>
      <c r="H101" s="64"/>
      <c r="I101" s="64"/>
      <c r="J101" s="64"/>
      <c r="K101" s="64"/>
      <c r="L101" s="64"/>
      <c r="M101" s="64"/>
      <c r="N101" s="64"/>
      <c r="O101" s="64"/>
    </row>
    <row r="102" spans="1:15" x14ac:dyDescent="0.15">
      <c r="A102" s="64"/>
      <c r="B102" s="64"/>
      <c r="C102" s="64"/>
      <c r="D102" s="64"/>
      <c r="E102" s="64"/>
      <c r="F102" s="64"/>
      <c r="G102" s="64"/>
      <c r="H102" s="64"/>
      <c r="I102" s="64"/>
      <c r="J102" s="64"/>
      <c r="K102" s="64"/>
      <c r="L102" s="64"/>
      <c r="M102" s="64"/>
      <c r="N102" s="64"/>
      <c r="O102" s="64"/>
    </row>
    <row r="103" spans="1:15" s="12" customFormat="1" x14ac:dyDescent="0.15">
      <c r="A103" s="61" t="str">
        <f ca="1">HYPERLINK("#"&amp;CELL("address", Contents!A40), "Back to Table of Contents")</f>
        <v>Back to Table of Contents</v>
      </c>
      <c r="B103" s="61"/>
      <c r="C103" s="61"/>
      <c r="D103" s="13"/>
      <c r="E103" s="13"/>
      <c r="F103" s="13"/>
      <c r="G103" s="13"/>
      <c r="H103" s="13"/>
      <c r="I103" s="13"/>
      <c r="J103" s="13"/>
      <c r="K103" s="13"/>
      <c r="L103" s="13"/>
      <c r="M103" s="13"/>
      <c r="N103" s="13"/>
      <c r="O103" s="13"/>
    </row>
    <row r="105" spans="1:15" x14ac:dyDescent="0.15">
      <c r="A105" s="14" t="s">
        <v>47</v>
      </c>
    </row>
    <row r="106" spans="1:15" x14ac:dyDescent="0.15">
      <c r="A106" s="65" t="s">
        <v>48</v>
      </c>
      <c r="B106" s="65"/>
      <c r="C106" s="65"/>
      <c r="O106" s="18" t="s">
        <v>171</v>
      </c>
    </row>
    <row r="108" spans="1:15" x14ac:dyDescent="0.15">
      <c r="A108" s="51" t="s">
        <v>2</v>
      </c>
      <c r="B108" s="51"/>
      <c r="D108" s="13">
        <v>2023</v>
      </c>
      <c r="E108" s="13">
        <v>2024</v>
      </c>
      <c r="F108" s="13">
        <v>2025</v>
      </c>
      <c r="G108" s="13">
        <v>2026</v>
      </c>
      <c r="H108" s="13">
        <v>2027</v>
      </c>
      <c r="I108" s="13">
        <v>2028</v>
      </c>
      <c r="J108" s="13">
        <v>2029</v>
      </c>
      <c r="K108" s="13">
        <v>2030</v>
      </c>
      <c r="L108" s="13">
        <v>2031</v>
      </c>
      <c r="M108" s="13">
        <v>2032</v>
      </c>
      <c r="N108" s="13" t="s">
        <v>3</v>
      </c>
      <c r="O108" s="13" t="s">
        <v>4</v>
      </c>
    </row>
    <row r="110" spans="1:15" x14ac:dyDescent="0.15">
      <c r="A110" s="51" t="s">
        <v>5</v>
      </c>
      <c r="B110" s="51"/>
    </row>
    <row r="111" spans="1:15" x14ac:dyDescent="0.15">
      <c r="B111" s="12" t="s">
        <v>49</v>
      </c>
      <c r="C111" s="12"/>
      <c r="D111" s="13">
        <v>0</v>
      </c>
      <c r="E111" s="13">
        <v>0</v>
      </c>
      <c r="F111" s="17">
        <v>-1.2</v>
      </c>
      <c r="G111" s="17">
        <v>-2.1</v>
      </c>
      <c r="H111" s="17">
        <v>-2.6</v>
      </c>
      <c r="I111" s="17">
        <v>-2.9</v>
      </c>
      <c r="J111" s="17">
        <v>-3</v>
      </c>
      <c r="K111" s="17">
        <v>-3.2</v>
      </c>
      <c r="L111" s="17">
        <v>-3.3</v>
      </c>
      <c r="M111" s="17">
        <v>-3.5</v>
      </c>
      <c r="N111" s="17">
        <v>-5.9</v>
      </c>
      <c r="O111" s="17">
        <v>-21.8</v>
      </c>
    </row>
    <row r="112" spans="1:15" x14ac:dyDescent="0.15">
      <c r="B112" s="1" t="s">
        <v>50</v>
      </c>
      <c r="D112" s="30" t="s">
        <v>51</v>
      </c>
      <c r="E112" s="30" t="s">
        <v>51</v>
      </c>
      <c r="F112" s="19" t="s">
        <v>52</v>
      </c>
      <c r="G112" s="19" t="s">
        <v>53</v>
      </c>
      <c r="H112" s="19" t="s">
        <v>54</v>
      </c>
      <c r="I112" s="19" t="s">
        <v>55</v>
      </c>
      <c r="J112" s="19" t="s">
        <v>55</v>
      </c>
      <c r="K112" s="19" t="s">
        <v>55</v>
      </c>
      <c r="L112" s="19" t="s">
        <v>56</v>
      </c>
      <c r="M112" s="19" t="s">
        <v>56</v>
      </c>
      <c r="N112" s="19" t="s">
        <v>57</v>
      </c>
      <c r="O112" s="19" t="s">
        <v>58</v>
      </c>
    </row>
    <row r="113" spans="1:15" x14ac:dyDescent="0.15">
      <c r="C113" s="1" t="s">
        <v>15</v>
      </c>
      <c r="D113" s="13">
        <v>0</v>
      </c>
      <c r="E113" s="13">
        <v>0</v>
      </c>
      <c r="F113" s="17">
        <v>-1</v>
      </c>
      <c r="G113" s="17">
        <v>-1.6</v>
      </c>
      <c r="H113" s="17">
        <v>-1.8</v>
      </c>
      <c r="I113" s="17">
        <v>-2</v>
      </c>
      <c r="J113" s="17">
        <v>-2.1</v>
      </c>
      <c r="K113" s="17">
        <v>-2.2999999999999998</v>
      </c>
      <c r="L113" s="17">
        <v>-2.2999999999999998</v>
      </c>
      <c r="M113" s="17">
        <v>-2.5</v>
      </c>
      <c r="N113" s="17">
        <v>-4.4000000000000004</v>
      </c>
      <c r="O113" s="17">
        <v>-15.6</v>
      </c>
    </row>
    <row r="116" spans="1:15" x14ac:dyDescent="0.15">
      <c r="A116" s="51" t="s">
        <v>42</v>
      </c>
      <c r="B116" s="51"/>
      <c r="C116" s="51"/>
    </row>
    <row r="117" spans="1:15" x14ac:dyDescent="0.15">
      <c r="A117" s="51" t="s">
        <v>59</v>
      </c>
      <c r="B117" s="51"/>
      <c r="C117" s="51"/>
    </row>
    <row r="118" spans="1:15" s="12" customFormat="1" x14ac:dyDescent="0.15">
      <c r="A118" s="61" t="str">
        <f ca="1">HYPERLINK("#"&amp;CELL("address", Contents!A41), "Back to Table of Contents")</f>
        <v>Back to Table of Contents</v>
      </c>
      <c r="B118" s="61"/>
      <c r="C118" s="61"/>
      <c r="D118" s="13"/>
      <c r="E118" s="13"/>
      <c r="F118" s="13"/>
      <c r="G118" s="13"/>
      <c r="H118" s="13"/>
      <c r="I118" s="13"/>
      <c r="J118" s="13"/>
      <c r="K118" s="13"/>
      <c r="L118" s="13"/>
      <c r="M118" s="13"/>
      <c r="N118" s="13"/>
      <c r="O118" s="13"/>
    </row>
    <row r="120" spans="1:15" x14ac:dyDescent="0.15">
      <c r="A120" s="14" t="s">
        <v>60</v>
      </c>
    </row>
    <row r="121" spans="1:15" x14ac:dyDescent="0.15">
      <c r="A121" s="65" t="s">
        <v>61</v>
      </c>
      <c r="B121" s="65"/>
      <c r="C121" s="65"/>
      <c r="O121" s="18" t="s">
        <v>171</v>
      </c>
    </row>
    <row r="123" spans="1:15" x14ac:dyDescent="0.15">
      <c r="A123" s="51" t="s">
        <v>2</v>
      </c>
      <c r="B123" s="51"/>
      <c r="D123" s="13">
        <v>2023</v>
      </c>
      <c r="E123" s="13">
        <v>2024</v>
      </c>
      <c r="F123" s="13">
        <v>2025</v>
      </c>
      <c r="G123" s="13">
        <v>2026</v>
      </c>
      <c r="H123" s="13">
        <v>2027</v>
      </c>
      <c r="I123" s="13">
        <v>2028</v>
      </c>
      <c r="J123" s="13">
        <v>2029</v>
      </c>
      <c r="K123" s="13">
        <v>2030</v>
      </c>
      <c r="L123" s="13">
        <v>2031</v>
      </c>
      <c r="M123" s="13">
        <v>2032</v>
      </c>
      <c r="N123" s="13" t="s">
        <v>3</v>
      </c>
      <c r="O123" s="13" t="s">
        <v>4</v>
      </c>
    </row>
    <row r="125" spans="1:15" x14ac:dyDescent="0.15">
      <c r="A125" s="51" t="s">
        <v>5</v>
      </c>
      <c r="B125" s="51"/>
    </row>
    <row r="126" spans="1:15" x14ac:dyDescent="0.15">
      <c r="B126" s="1" t="s">
        <v>49</v>
      </c>
      <c r="D126" s="13">
        <v>0</v>
      </c>
      <c r="E126" s="17">
        <v>0.1</v>
      </c>
      <c r="F126" s="17">
        <v>0.1</v>
      </c>
      <c r="G126" s="17">
        <v>-1.8</v>
      </c>
      <c r="H126" s="17">
        <v>-2.9</v>
      </c>
      <c r="I126" s="17">
        <v>-3.1</v>
      </c>
      <c r="J126" s="17">
        <v>-3.3</v>
      </c>
      <c r="K126" s="17">
        <v>-3.5</v>
      </c>
      <c r="L126" s="17">
        <v>-3.7</v>
      </c>
      <c r="M126" s="17">
        <v>-3.8</v>
      </c>
      <c r="N126" s="17">
        <v>-4.5</v>
      </c>
      <c r="O126" s="17">
        <v>-21.9</v>
      </c>
    </row>
    <row r="127" spans="1:15" x14ac:dyDescent="0.15">
      <c r="B127" s="1" t="s">
        <v>50</v>
      </c>
      <c r="D127" s="30" t="s">
        <v>51</v>
      </c>
      <c r="E127" s="30" t="s">
        <v>51</v>
      </c>
      <c r="F127" s="30" t="s">
        <v>51</v>
      </c>
      <c r="G127" s="19" t="s">
        <v>62</v>
      </c>
      <c r="H127" s="19" t="s">
        <v>63</v>
      </c>
      <c r="I127" s="19" t="s">
        <v>64</v>
      </c>
      <c r="J127" s="19" t="s">
        <v>65</v>
      </c>
      <c r="K127" s="19" t="s">
        <v>66</v>
      </c>
      <c r="L127" s="19" t="s">
        <v>67</v>
      </c>
      <c r="M127" s="19" t="s">
        <v>67</v>
      </c>
      <c r="N127" s="19" t="s">
        <v>66</v>
      </c>
      <c r="O127" s="19" t="s">
        <v>68</v>
      </c>
    </row>
    <row r="128" spans="1:15" x14ac:dyDescent="0.15">
      <c r="C128" s="1" t="s">
        <v>15</v>
      </c>
      <c r="D128" s="13">
        <v>0</v>
      </c>
      <c r="E128" s="17">
        <v>0.1</v>
      </c>
      <c r="F128" s="17">
        <v>0.1</v>
      </c>
      <c r="G128" s="17">
        <v>-2.2999999999999998</v>
      </c>
      <c r="H128" s="17">
        <v>-4.2</v>
      </c>
      <c r="I128" s="17">
        <v>-4.7</v>
      </c>
      <c r="J128" s="17">
        <v>-5</v>
      </c>
      <c r="K128" s="17">
        <v>-5.3</v>
      </c>
      <c r="L128" s="17">
        <v>-5.6</v>
      </c>
      <c r="M128" s="17">
        <v>-5.7</v>
      </c>
      <c r="N128" s="17">
        <v>-6.3</v>
      </c>
      <c r="O128" s="17">
        <v>-32.6</v>
      </c>
    </row>
    <row r="131" spans="1:15" x14ac:dyDescent="0.15">
      <c r="A131" s="51" t="s">
        <v>69</v>
      </c>
      <c r="B131" s="51"/>
      <c r="C131" s="51"/>
    </row>
    <row r="132" spans="1:15" x14ac:dyDescent="0.15">
      <c r="A132" s="51" t="s">
        <v>59</v>
      </c>
      <c r="B132" s="51"/>
      <c r="C132" s="51"/>
    </row>
    <row r="133" spans="1:15" s="12" customFormat="1" x14ac:dyDescent="0.15">
      <c r="A133" s="61" t="str">
        <f ca="1">HYPERLINK("#"&amp;CELL("address", Contents!A42), "Back to Table of Contents")</f>
        <v>Back to Table of Contents</v>
      </c>
      <c r="B133" s="61"/>
      <c r="C133" s="61"/>
      <c r="D133" s="13"/>
      <c r="E133" s="13"/>
      <c r="F133" s="13"/>
      <c r="G133" s="13"/>
      <c r="H133" s="13"/>
      <c r="I133" s="13"/>
      <c r="J133" s="13"/>
      <c r="K133" s="13"/>
      <c r="L133" s="13"/>
      <c r="M133" s="13"/>
      <c r="N133" s="13"/>
      <c r="O133" s="13"/>
    </row>
    <row r="135" spans="1:15" x14ac:dyDescent="0.15">
      <c r="A135" s="14" t="s">
        <v>70</v>
      </c>
    </row>
    <row r="136" spans="1:15" x14ac:dyDescent="0.15">
      <c r="A136" s="65" t="s">
        <v>71</v>
      </c>
      <c r="B136" s="65"/>
      <c r="C136" s="65"/>
      <c r="O136" s="18" t="s">
        <v>174</v>
      </c>
    </row>
    <row r="138" spans="1:15" x14ac:dyDescent="0.15">
      <c r="A138" s="51" t="s">
        <v>2</v>
      </c>
      <c r="B138" s="51"/>
      <c r="D138" s="13">
        <v>2023</v>
      </c>
      <c r="E138" s="13">
        <v>2024</v>
      </c>
      <c r="F138" s="13">
        <v>2025</v>
      </c>
      <c r="G138" s="13">
        <v>2026</v>
      </c>
      <c r="H138" s="13">
        <v>2027</v>
      </c>
      <c r="I138" s="13">
        <v>2028</v>
      </c>
      <c r="J138" s="13">
        <v>2029</v>
      </c>
      <c r="K138" s="13">
        <v>2030</v>
      </c>
      <c r="L138" s="13">
        <v>2031</v>
      </c>
      <c r="M138" s="13">
        <v>2032</v>
      </c>
      <c r="N138" s="13" t="s">
        <v>3</v>
      </c>
      <c r="O138" s="13" t="s">
        <v>4</v>
      </c>
    </row>
    <row r="140" spans="1:15" x14ac:dyDescent="0.15">
      <c r="A140" s="51" t="s">
        <v>5</v>
      </c>
      <c r="B140" s="51"/>
    </row>
    <row r="141" spans="1:15" x14ac:dyDescent="0.15">
      <c r="B141" s="51" t="s">
        <v>72</v>
      </c>
      <c r="C141" s="51"/>
      <c r="D141" s="13">
        <v>0</v>
      </c>
      <c r="E141" s="13">
        <v>0</v>
      </c>
      <c r="F141" s="13">
        <v>0</v>
      </c>
      <c r="G141" s="13">
        <v>-3</v>
      </c>
      <c r="H141" s="13">
        <v>-4</v>
      </c>
      <c r="I141" s="13">
        <v>-4</v>
      </c>
      <c r="J141" s="13">
        <v>-4</v>
      </c>
      <c r="K141" s="13">
        <v>-4</v>
      </c>
      <c r="L141" s="13">
        <v>-4</v>
      </c>
      <c r="M141" s="13">
        <v>-4</v>
      </c>
      <c r="N141" s="13">
        <v>-7</v>
      </c>
      <c r="O141" s="13">
        <v>-27</v>
      </c>
    </row>
    <row r="142" spans="1:15" x14ac:dyDescent="0.15">
      <c r="B142" s="51" t="s">
        <v>73</v>
      </c>
      <c r="C142" s="51"/>
      <c r="D142" s="13">
        <v>0</v>
      </c>
      <c r="E142" s="13">
        <v>0</v>
      </c>
      <c r="F142" s="13">
        <v>0</v>
      </c>
      <c r="G142" s="13">
        <v>-10</v>
      </c>
      <c r="H142" s="13">
        <v>-13</v>
      </c>
      <c r="I142" s="13">
        <v>-14</v>
      </c>
      <c r="J142" s="13">
        <v>-14</v>
      </c>
      <c r="K142" s="13">
        <v>-15</v>
      </c>
      <c r="L142" s="13">
        <v>-16</v>
      </c>
      <c r="M142" s="13">
        <v>-17</v>
      </c>
      <c r="N142" s="13">
        <v>-23</v>
      </c>
      <c r="O142" s="13">
        <v>-100</v>
      </c>
    </row>
    <row r="143" spans="1:15" ht="15" x14ac:dyDescent="0.15">
      <c r="B143" s="51" t="s">
        <v>183</v>
      </c>
      <c r="C143" s="51"/>
      <c r="D143" s="13">
        <v>0</v>
      </c>
      <c r="E143" s="13">
        <v>0</v>
      </c>
      <c r="F143" s="13">
        <v>0</v>
      </c>
      <c r="G143" s="13">
        <v>-13</v>
      </c>
      <c r="H143" s="13">
        <v>-17</v>
      </c>
      <c r="I143" s="13">
        <v>-17</v>
      </c>
      <c r="J143" s="13">
        <v>-18</v>
      </c>
      <c r="K143" s="13">
        <v>-18</v>
      </c>
      <c r="L143" s="13">
        <v>-19</v>
      </c>
      <c r="M143" s="13">
        <v>-20</v>
      </c>
      <c r="N143" s="13">
        <v>-30</v>
      </c>
      <c r="O143" s="13">
        <v>-122</v>
      </c>
    </row>
    <row r="146" spans="1:15" x14ac:dyDescent="0.15">
      <c r="A146" s="51" t="s">
        <v>74</v>
      </c>
      <c r="B146" s="51"/>
      <c r="C146" s="51"/>
    </row>
    <row r="147" spans="1:15" x14ac:dyDescent="0.15">
      <c r="A147" s="51" t="s">
        <v>75</v>
      </c>
      <c r="B147" s="51"/>
      <c r="C147" s="51"/>
      <c r="D147" s="51"/>
      <c r="E147" s="51"/>
      <c r="F147" s="51"/>
      <c r="G147" s="51"/>
      <c r="H147" s="51"/>
      <c r="I147" s="51"/>
      <c r="J147" s="51"/>
      <c r="K147" s="51"/>
      <c r="L147" s="51"/>
      <c r="M147" s="51"/>
      <c r="N147" s="51"/>
      <c r="O147" s="51"/>
    </row>
    <row r="148" spans="1:15" s="12" customFormat="1" x14ac:dyDescent="0.15">
      <c r="A148" s="61" t="str">
        <f ca="1">HYPERLINK("#"&amp;CELL("address", Contents!A43), "Back to Table of Contents")</f>
        <v>Back to Table of Contents</v>
      </c>
      <c r="B148" s="61"/>
      <c r="C148" s="61"/>
      <c r="D148" s="13"/>
      <c r="E148" s="13"/>
      <c r="F148" s="13"/>
      <c r="G148" s="13"/>
      <c r="H148" s="13"/>
      <c r="I148" s="13"/>
      <c r="J148" s="13"/>
      <c r="K148" s="13"/>
      <c r="L148" s="13"/>
      <c r="M148" s="13"/>
      <c r="N148" s="13"/>
      <c r="O148" s="13"/>
    </row>
    <row r="150" spans="1:15" x14ac:dyDescent="0.15">
      <c r="A150" s="65" t="s">
        <v>76</v>
      </c>
      <c r="B150" s="65"/>
    </row>
    <row r="151" spans="1:15" x14ac:dyDescent="0.15">
      <c r="A151" s="65" t="s">
        <v>77</v>
      </c>
      <c r="B151" s="65"/>
      <c r="C151" s="65"/>
      <c r="O151" s="18" t="s">
        <v>174</v>
      </c>
    </row>
    <row r="153" spans="1:15" x14ac:dyDescent="0.15">
      <c r="A153" s="51" t="s">
        <v>2</v>
      </c>
      <c r="B153" s="51"/>
      <c r="D153" s="13">
        <v>2023</v>
      </c>
      <c r="E153" s="13">
        <v>2024</v>
      </c>
      <c r="F153" s="13">
        <v>2025</v>
      </c>
      <c r="G153" s="13">
        <v>2026</v>
      </c>
      <c r="H153" s="13">
        <v>2027</v>
      </c>
      <c r="I153" s="13">
        <v>2028</v>
      </c>
      <c r="J153" s="13">
        <v>2029</v>
      </c>
      <c r="K153" s="13">
        <v>2030</v>
      </c>
      <c r="L153" s="13">
        <v>2031</v>
      </c>
      <c r="M153" s="13">
        <v>2032</v>
      </c>
      <c r="N153" s="13" t="s">
        <v>3</v>
      </c>
      <c r="O153" s="13" t="s">
        <v>4</v>
      </c>
    </row>
    <row r="155" spans="1:15" x14ac:dyDescent="0.15">
      <c r="A155" s="51" t="s">
        <v>5</v>
      </c>
      <c r="B155" s="51"/>
    </row>
    <row r="156" spans="1:15" x14ac:dyDescent="0.15">
      <c r="B156" s="51" t="s">
        <v>78</v>
      </c>
      <c r="C156" s="51"/>
      <c r="D156" s="13">
        <v>0</v>
      </c>
      <c r="E156" s="17">
        <v>-0.7</v>
      </c>
      <c r="F156" s="17">
        <v>-1.5</v>
      </c>
      <c r="G156" s="17">
        <v>-2.4</v>
      </c>
      <c r="H156" s="17">
        <v>-2.6</v>
      </c>
      <c r="I156" s="17">
        <v>-2.9</v>
      </c>
      <c r="J156" s="17">
        <v>-2.8</v>
      </c>
      <c r="K156" s="17">
        <v>-3.1</v>
      </c>
      <c r="L156" s="17">
        <v>-3.3</v>
      </c>
      <c r="M156" s="17">
        <v>-3.6</v>
      </c>
      <c r="N156" s="17">
        <v>-7.1</v>
      </c>
      <c r="O156" s="17">
        <v>-22.8</v>
      </c>
    </row>
    <row r="157" spans="1:15" x14ac:dyDescent="0.15">
      <c r="B157" s="51" t="s">
        <v>79</v>
      </c>
      <c r="C157" s="51"/>
      <c r="D157" s="13">
        <v>0</v>
      </c>
      <c r="E157" s="17">
        <v>-1.3</v>
      </c>
      <c r="F157" s="17">
        <v>-3</v>
      </c>
      <c r="G157" s="17">
        <v>-4.8</v>
      </c>
      <c r="H157" s="17">
        <v>-5.0999999999999996</v>
      </c>
      <c r="I157" s="17">
        <v>-5.7</v>
      </c>
      <c r="J157" s="17">
        <v>-5.6</v>
      </c>
      <c r="K157" s="17">
        <v>-6.3</v>
      </c>
      <c r="L157" s="17">
        <v>-6.6</v>
      </c>
      <c r="M157" s="17">
        <v>-7.2</v>
      </c>
      <c r="N157" s="17">
        <v>-14.2</v>
      </c>
      <c r="O157" s="17">
        <v>-45.7</v>
      </c>
    </row>
    <row r="158" spans="1:15" x14ac:dyDescent="0.15">
      <c r="B158" s="51" t="s">
        <v>80</v>
      </c>
      <c r="C158" s="51"/>
      <c r="D158" s="13">
        <v>0</v>
      </c>
      <c r="E158" s="17">
        <v>-2.2000000000000002</v>
      </c>
      <c r="F158" s="17">
        <v>-4.8</v>
      </c>
      <c r="G158" s="17">
        <v>-7.8</v>
      </c>
      <c r="H158" s="17">
        <v>-8.3000000000000007</v>
      </c>
      <c r="I158" s="17">
        <v>-9.3000000000000007</v>
      </c>
      <c r="J158" s="17">
        <v>-9.1</v>
      </c>
      <c r="K158" s="17">
        <v>-10.199999999999999</v>
      </c>
      <c r="L158" s="17">
        <v>-10.8</v>
      </c>
      <c r="M158" s="17">
        <v>-11.7</v>
      </c>
      <c r="N158" s="17">
        <v>-23.1</v>
      </c>
      <c r="O158" s="17">
        <v>-74.2</v>
      </c>
    </row>
    <row r="161" spans="1:15" x14ac:dyDescent="0.15">
      <c r="A161" s="51" t="s">
        <v>6</v>
      </c>
      <c r="B161" s="51"/>
      <c r="C161" s="51"/>
    </row>
    <row r="162" spans="1:15" s="12" customFormat="1" x14ac:dyDescent="0.15">
      <c r="A162" s="61" t="str">
        <f ca="1">HYPERLINK("#"&amp;CELL("address", Contents!A44), "Back to Table of Contents")</f>
        <v>Back to Table of Contents</v>
      </c>
      <c r="B162" s="61"/>
      <c r="C162" s="61"/>
      <c r="D162" s="13"/>
      <c r="E162" s="13"/>
      <c r="F162" s="13"/>
      <c r="G162" s="13"/>
      <c r="H162" s="13"/>
      <c r="I162" s="13"/>
      <c r="J162" s="13"/>
      <c r="K162" s="13"/>
      <c r="L162" s="13"/>
      <c r="M162" s="13"/>
      <c r="N162" s="13"/>
      <c r="O162" s="13"/>
    </row>
    <row r="164" spans="1:15" x14ac:dyDescent="0.15">
      <c r="A164" s="65" t="s">
        <v>81</v>
      </c>
      <c r="B164" s="65"/>
    </row>
    <row r="165" spans="1:15" x14ac:dyDescent="0.15">
      <c r="A165" s="65" t="s">
        <v>82</v>
      </c>
      <c r="B165" s="65"/>
      <c r="C165" s="65"/>
      <c r="N165" s="62" t="s">
        <v>175</v>
      </c>
      <c r="O165" s="62"/>
    </row>
    <row r="167" spans="1:15" x14ac:dyDescent="0.15">
      <c r="A167" s="51" t="s">
        <v>2</v>
      </c>
      <c r="B167" s="51"/>
      <c r="D167" s="13">
        <v>2023</v>
      </c>
      <c r="E167" s="13">
        <v>2024</v>
      </c>
      <c r="F167" s="13">
        <v>2025</v>
      </c>
      <c r="G167" s="13">
        <v>2026</v>
      </c>
      <c r="H167" s="13">
        <v>2027</v>
      </c>
      <c r="I167" s="13">
        <v>2028</v>
      </c>
      <c r="J167" s="13">
        <v>2029</v>
      </c>
      <c r="K167" s="13">
        <v>2030</v>
      </c>
      <c r="L167" s="13">
        <v>2031</v>
      </c>
      <c r="M167" s="13">
        <v>2032</v>
      </c>
      <c r="N167" s="13" t="s">
        <v>3</v>
      </c>
      <c r="O167" s="13" t="s">
        <v>4</v>
      </c>
    </row>
    <row r="169" spans="1:15" x14ac:dyDescent="0.15">
      <c r="A169" s="51" t="s">
        <v>5</v>
      </c>
      <c r="B169" s="51"/>
    </row>
    <row r="170" spans="1:15" x14ac:dyDescent="0.15">
      <c r="B170" s="51" t="s">
        <v>83</v>
      </c>
      <c r="C170" s="51"/>
      <c r="D170" s="13">
        <v>0</v>
      </c>
      <c r="E170" s="17">
        <v>-2.5</v>
      </c>
      <c r="F170" s="17">
        <v>-3.5</v>
      </c>
      <c r="G170" s="17">
        <v>-4.8</v>
      </c>
      <c r="H170" s="17">
        <v>-6.3</v>
      </c>
      <c r="I170" s="17">
        <v>-7.4</v>
      </c>
      <c r="J170" s="17">
        <v>-8.6999999999999904</v>
      </c>
      <c r="K170" s="17">
        <v>-10.199999999999999</v>
      </c>
      <c r="L170" s="17">
        <v>-11.6</v>
      </c>
      <c r="M170" s="17">
        <v>-13.2</v>
      </c>
      <c r="N170" s="17">
        <v>-17.100000000000001</v>
      </c>
      <c r="O170" s="17">
        <v>-68.2</v>
      </c>
    </row>
    <row r="171" spans="1:15" x14ac:dyDescent="0.15">
      <c r="B171" s="51" t="s">
        <v>84</v>
      </c>
      <c r="C171" s="51"/>
      <c r="D171" s="13">
        <v>0</v>
      </c>
      <c r="E171" s="17">
        <v>-3</v>
      </c>
      <c r="F171" s="17">
        <v>-4.3</v>
      </c>
      <c r="G171" s="17">
        <v>-5.8</v>
      </c>
      <c r="H171" s="17">
        <v>-7.4</v>
      </c>
      <c r="I171" s="17">
        <v>-8.8000000000000007</v>
      </c>
      <c r="J171" s="17">
        <v>-10.4</v>
      </c>
      <c r="K171" s="17">
        <v>-12</v>
      </c>
      <c r="L171" s="17">
        <v>-13.7</v>
      </c>
      <c r="M171" s="17">
        <v>-15.5</v>
      </c>
      <c r="N171" s="17">
        <v>-20.5</v>
      </c>
      <c r="O171" s="17">
        <v>-80.900000000000006</v>
      </c>
    </row>
    <row r="174" spans="1:15" x14ac:dyDescent="0.15">
      <c r="A174" s="51" t="s">
        <v>6</v>
      </c>
      <c r="B174" s="51"/>
      <c r="C174" s="51"/>
    </row>
    <row r="175" spans="1:15" x14ac:dyDescent="0.15">
      <c r="A175" s="51" t="s">
        <v>85</v>
      </c>
      <c r="B175" s="51"/>
      <c r="C175" s="51"/>
    </row>
    <row r="176" spans="1:15" s="12" customFormat="1" x14ac:dyDescent="0.15">
      <c r="A176" s="61" t="str">
        <f ca="1">HYPERLINK("#"&amp;CELL("address", Contents!A45), "Back to Table of Contents")</f>
        <v>Back to Table of Contents</v>
      </c>
      <c r="B176" s="61"/>
      <c r="C176" s="61"/>
      <c r="D176" s="13"/>
      <c r="E176" s="13"/>
      <c r="F176" s="13"/>
      <c r="G176" s="13"/>
      <c r="H176" s="13"/>
      <c r="I176" s="13"/>
      <c r="J176" s="13"/>
      <c r="K176" s="13"/>
      <c r="L176" s="13"/>
      <c r="M176" s="13"/>
      <c r="N176" s="13"/>
      <c r="O176" s="13"/>
    </row>
    <row r="178" spans="1:15" x14ac:dyDescent="0.15">
      <c r="A178" s="65" t="s">
        <v>86</v>
      </c>
      <c r="B178" s="65"/>
      <c r="C178" s="12"/>
    </row>
    <row r="179" spans="1:15" x14ac:dyDescent="0.15">
      <c r="A179" s="65" t="s">
        <v>87</v>
      </c>
      <c r="B179" s="65"/>
      <c r="C179" s="65"/>
      <c r="D179" s="65"/>
      <c r="E179" s="65"/>
      <c r="F179" s="65"/>
      <c r="O179" s="18" t="s">
        <v>176</v>
      </c>
    </row>
    <row r="181" spans="1:15" x14ac:dyDescent="0.15">
      <c r="A181" s="51" t="s">
        <v>2</v>
      </c>
      <c r="B181" s="51"/>
      <c r="D181" s="13">
        <v>2023</v>
      </c>
      <c r="E181" s="13">
        <v>2024</v>
      </c>
      <c r="F181" s="13">
        <v>2025</v>
      </c>
      <c r="G181" s="13">
        <v>2026</v>
      </c>
      <c r="H181" s="13">
        <v>2027</v>
      </c>
      <c r="I181" s="13">
        <v>2028</v>
      </c>
      <c r="J181" s="13">
        <v>2029</v>
      </c>
      <c r="K181" s="13">
        <v>2030</v>
      </c>
      <c r="L181" s="13">
        <v>2031</v>
      </c>
      <c r="M181" s="13">
        <v>2032</v>
      </c>
      <c r="N181" s="13" t="s">
        <v>3</v>
      </c>
      <c r="O181" s="13" t="s">
        <v>4</v>
      </c>
    </row>
    <row r="183" spans="1:15" x14ac:dyDescent="0.15">
      <c r="A183" s="51" t="s">
        <v>5</v>
      </c>
      <c r="B183" s="51"/>
      <c r="D183" s="17">
        <v>-0.1</v>
      </c>
      <c r="E183" s="17">
        <v>-0.8</v>
      </c>
      <c r="F183" s="17">
        <v>-1</v>
      </c>
      <c r="G183" s="17">
        <v>-1.2</v>
      </c>
      <c r="H183" s="17">
        <v>-1.2</v>
      </c>
      <c r="I183" s="17">
        <v>-1.3</v>
      </c>
      <c r="J183" s="17">
        <v>-1.3</v>
      </c>
      <c r="K183" s="17">
        <v>-1.3</v>
      </c>
      <c r="L183" s="17">
        <v>-1.4</v>
      </c>
      <c r="M183" s="17">
        <v>-1.4</v>
      </c>
      <c r="N183" s="17">
        <v>-4.3</v>
      </c>
      <c r="O183" s="17">
        <v>-11.1</v>
      </c>
    </row>
    <row r="186" spans="1:15" x14ac:dyDescent="0.15">
      <c r="A186" s="51" t="s">
        <v>34</v>
      </c>
      <c r="B186" s="51"/>
      <c r="C186" s="51"/>
    </row>
    <row r="187" spans="1:15" s="12" customFormat="1" x14ac:dyDescent="0.15">
      <c r="A187" s="61" t="str">
        <f ca="1">HYPERLINK("#"&amp;CELL("address", Contents!A46), "Back to Table of Contents")</f>
        <v>Back to Table of Contents</v>
      </c>
      <c r="B187" s="61"/>
      <c r="C187" s="61"/>
      <c r="D187" s="13"/>
      <c r="E187" s="13"/>
      <c r="F187" s="13"/>
      <c r="G187" s="13"/>
      <c r="H187" s="13"/>
      <c r="I187" s="13"/>
      <c r="J187" s="13"/>
      <c r="K187" s="13"/>
      <c r="L187" s="13"/>
      <c r="M187" s="13"/>
      <c r="N187" s="13"/>
      <c r="O187" s="13"/>
    </row>
    <row r="189" spans="1:15" x14ac:dyDescent="0.15">
      <c r="A189" s="65" t="s">
        <v>88</v>
      </c>
      <c r="B189" s="65"/>
      <c r="C189" s="65"/>
    </row>
    <row r="190" spans="1:15" x14ac:dyDescent="0.15">
      <c r="A190" s="65" t="s">
        <v>89</v>
      </c>
      <c r="B190" s="65"/>
      <c r="C190" s="65"/>
      <c r="O190" s="18" t="s">
        <v>177</v>
      </c>
    </row>
    <row r="192" spans="1:15" x14ac:dyDescent="0.15">
      <c r="A192" s="51" t="s">
        <v>2</v>
      </c>
      <c r="B192" s="51"/>
      <c r="D192" s="13">
        <v>2023</v>
      </c>
      <c r="E192" s="13">
        <v>2024</v>
      </c>
      <c r="F192" s="13">
        <v>2025</v>
      </c>
      <c r="G192" s="13">
        <v>2026</v>
      </c>
      <c r="H192" s="13">
        <v>2027</v>
      </c>
      <c r="I192" s="13">
        <v>2028</v>
      </c>
      <c r="J192" s="13">
        <v>2029</v>
      </c>
      <c r="K192" s="13">
        <v>2030</v>
      </c>
      <c r="L192" s="13">
        <v>2031</v>
      </c>
      <c r="M192" s="13">
        <v>2032</v>
      </c>
      <c r="N192" s="13" t="s">
        <v>3</v>
      </c>
      <c r="O192" s="13" t="s">
        <v>4</v>
      </c>
    </row>
    <row r="194" spans="1:15" x14ac:dyDescent="0.15">
      <c r="A194" s="1" t="s">
        <v>5</v>
      </c>
      <c r="D194" s="13">
        <v>0</v>
      </c>
      <c r="E194" s="13" t="s">
        <v>33</v>
      </c>
      <c r="F194" s="13">
        <v>-1</v>
      </c>
      <c r="G194" s="13">
        <v>-2</v>
      </c>
      <c r="H194" s="13">
        <v>-4</v>
      </c>
      <c r="I194" s="13">
        <v>-6</v>
      </c>
      <c r="J194" s="13">
        <v>-12</v>
      </c>
      <c r="K194" s="13">
        <v>-20</v>
      </c>
      <c r="L194" s="13">
        <v>-32</v>
      </c>
      <c r="M194" s="13">
        <v>-45</v>
      </c>
      <c r="N194" s="13">
        <v>-7</v>
      </c>
      <c r="O194" s="13">
        <v>-121</v>
      </c>
    </row>
    <row r="197" spans="1:15" x14ac:dyDescent="0.15">
      <c r="A197" s="51" t="s">
        <v>90</v>
      </c>
      <c r="B197" s="51"/>
      <c r="C197" s="51"/>
    </row>
    <row r="198" spans="1:15" x14ac:dyDescent="0.15">
      <c r="A198" s="51" t="s">
        <v>91</v>
      </c>
      <c r="B198" s="51"/>
      <c r="C198" s="51"/>
    </row>
    <row r="199" spans="1:15" x14ac:dyDescent="0.15">
      <c r="A199" s="51" t="s">
        <v>92</v>
      </c>
      <c r="B199" s="51"/>
      <c r="C199" s="51"/>
    </row>
    <row r="200" spans="1:15" s="12" customFormat="1" x14ac:dyDescent="0.15">
      <c r="A200" s="61" t="str">
        <f ca="1">HYPERLINK("#"&amp;CELL("address", Contents!A47), "Back to Table of Contents")</f>
        <v>Back to Table of Contents</v>
      </c>
      <c r="B200" s="61"/>
      <c r="C200" s="61"/>
      <c r="D200" s="13"/>
      <c r="E200" s="13"/>
      <c r="F200" s="13"/>
      <c r="G200" s="13"/>
      <c r="H200" s="13"/>
      <c r="I200" s="13"/>
      <c r="J200" s="13"/>
      <c r="K200" s="13"/>
      <c r="L200" s="13"/>
      <c r="M200" s="13"/>
      <c r="N200" s="13"/>
      <c r="O200" s="13"/>
    </row>
    <row r="202" spans="1:15" x14ac:dyDescent="0.15">
      <c r="A202" s="65" t="s">
        <v>93</v>
      </c>
      <c r="B202" s="65"/>
    </row>
    <row r="203" spans="1:15" x14ac:dyDescent="0.15">
      <c r="A203" s="65" t="s">
        <v>94</v>
      </c>
      <c r="B203" s="65"/>
      <c r="C203" s="65"/>
      <c r="O203" s="18" t="s">
        <v>177</v>
      </c>
    </row>
    <row r="205" spans="1:15" x14ac:dyDescent="0.15">
      <c r="A205" s="51" t="s">
        <v>2</v>
      </c>
      <c r="B205" s="51"/>
      <c r="D205" s="13">
        <v>2023</v>
      </c>
      <c r="E205" s="13">
        <v>2024</v>
      </c>
      <c r="F205" s="13">
        <v>2025</v>
      </c>
      <c r="G205" s="13">
        <v>2026</v>
      </c>
      <c r="H205" s="13">
        <v>2027</v>
      </c>
      <c r="I205" s="13">
        <v>2028</v>
      </c>
      <c r="J205" s="13">
        <v>2029</v>
      </c>
      <c r="K205" s="13">
        <v>2030</v>
      </c>
      <c r="L205" s="13">
        <v>2031</v>
      </c>
      <c r="M205" s="13">
        <v>2032</v>
      </c>
      <c r="N205" s="13" t="s">
        <v>3</v>
      </c>
      <c r="O205" s="13" t="s">
        <v>4</v>
      </c>
    </row>
    <row r="207" spans="1:15" x14ac:dyDescent="0.15">
      <c r="A207" s="51" t="s">
        <v>5</v>
      </c>
      <c r="B207" s="51"/>
      <c r="D207" s="13">
        <v>0</v>
      </c>
      <c r="E207" s="17">
        <v>-0.7</v>
      </c>
      <c r="F207" s="17">
        <v>-2</v>
      </c>
      <c r="G207" s="17">
        <v>-3.5</v>
      </c>
      <c r="H207" s="17">
        <v>-5.0999999999999996</v>
      </c>
      <c r="I207" s="17">
        <v>-6.5</v>
      </c>
      <c r="J207" s="17">
        <v>-7.9</v>
      </c>
      <c r="K207" s="17">
        <v>-9.1999999999999904</v>
      </c>
      <c r="L207" s="17">
        <v>-10.5</v>
      </c>
      <c r="M207" s="17">
        <v>-11.8</v>
      </c>
      <c r="N207" s="17">
        <v>-11.3</v>
      </c>
      <c r="O207" s="17">
        <v>-57.2</v>
      </c>
    </row>
    <row r="210" spans="1:15" x14ac:dyDescent="0.15">
      <c r="A210" s="51" t="s">
        <v>90</v>
      </c>
      <c r="B210" s="51"/>
      <c r="C210" s="51"/>
    </row>
    <row r="211" spans="1:15" x14ac:dyDescent="0.15">
      <c r="A211" s="51" t="s">
        <v>91</v>
      </c>
      <c r="B211" s="51"/>
      <c r="C211" s="51"/>
    </row>
    <row r="212" spans="1:15" ht="14.25" customHeight="1" x14ac:dyDescent="0.15">
      <c r="A212" s="64" t="s">
        <v>95</v>
      </c>
      <c r="B212" s="64"/>
      <c r="C212" s="64"/>
      <c r="D212" s="64"/>
      <c r="E212" s="64"/>
      <c r="F212" s="64"/>
      <c r="G212" s="64"/>
      <c r="H212" s="64"/>
      <c r="I212" s="64"/>
      <c r="J212" s="64"/>
      <c r="K212" s="64"/>
      <c r="L212" s="64"/>
      <c r="M212" s="64"/>
      <c r="N212" s="64"/>
      <c r="O212" s="64"/>
    </row>
    <row r="213" spans="1:15" s="12" customFormat="1" x14ac:dyDescent="0.15">
      <c r="A213" s="64"/>
      <c r="B213" s="64"/>
      <c r="C213" s="64"/>
      <c r="D213" s="64"/>
      <c r="E213" s="64"/>
      <c r="F213" s="64"/>
      <c r="G213" s="64"/>
      <c r="H213" s="64"/>
      <c r="I213" s="64"/>
      <c r="J213" s="64"/>
      <c r="K213" s="64"/>
      <c r="L213" s="64"/>
      <c r="M213" s="64"/>
      <c r="N213" s="64"/>
      <c r="O213" s="64"/>
    </row>
    <row r="214" spans="1:15" s="12" customFormat="1" x14ac:dyDescent="0.15">
      <c r="A214" s="61" t="str">
        <f ca="1">HYPERLINK("#"&amp;CELL("address", Contents!A48), "Back to Table of Contents")</f>
        <v>Back to Table of Contents</v>
      </c>
      <c r="B214" s="61"/>
      <c r="C214" s="61"/>
      <c r="D214" s="13"/>
      <c r="E214" s="13"/>
      <c r="F214" s="13"/>
      <c r="G214" s="13"/>
      <c r="H214" s="13"/>
      <c r="I214" s="13"/>
      <c r="J214" s="13"/>
      <c r="K214" s="13"/>
      <c r="L214" s="13"/>
      <c r="M214" s="13"/>
      <c r="N214" s="13"/>
      <c r="O214" s="13"/>
    </row>
    <row r="216" spans="1:15" x14ac:dyDescent="0.15">
      <c r="A216" s="65" t="s">
        <v>96</v>
      </c>
      <c r="B216" s="65"/>
    </row>
    <row r="217" spans="1:15" x14ac:dyDescent="0.15">
      <c r="A217" s="65" t="s">
        <v>97</v>
      </c>
      <c r="B217" s="65"/>
      <c r="C217" s="65"/>
      <c r="D217" s="65"/>
      <c r="E217" s="65"/>
      <c r="O217" s="18" t="s">
        <v>178</v>
      </c>
    </row>
    <row r="219" spans="1:15" x14ac:dyDescent="0.15">
      <c r="A219" s="51" t="s">
        <v>2</v>
      </c>
      <c r="B219" s="51"/>
      <c r="D219" s="13">
        <v>2023</v>
      </c>
      <c r="E219" s="13">
        <v>2024</v>
      </c>
      <c r="F219" s="13">
        <v>2025</v>
      </c>
      <c r="G219" s="13">
        <v>2026</v>
      </c>
      <c r="H219" s="13">
        <v>2027</v>
      </c>
      <c r="I219" s="13">
        <v>2028</v>
      </c>
      <c r="J219" s="13">
        <v>2029</v>
      </c>
      <c r="K219" s="13">
        <v>2030</v>
      </c>
      <c r="L219" s="13">
        <v>2031</v>
      </c>
      <c r="M219" s="13">
        <v>2032</v>
      </c>
      <c r="N219" s="13" t="s">
        <v>3</v>
      </c>
      <c r="O219" s="13" t="s">
        <v>4</v>
      </c>
    </row>
    <row r="221" spans="1:15" x14ac:dyDescent="0.15">
      <c r="A221" s="51" t="s">
        <v>5</v>
      </c>
      <c r="B221" s="51"/>
    </row>
    <row r="222" spans="1:15" x14ac:dyDescent="0.15">
      <c r="B222" s="51" t="s">
        <v>98</v>
      </c>
      <c r="C222" s="51"/>
      <c r="D222" s="13">
        <v>0</v>
      </c>
      <c r="E222" s="17">
        <v>-3.1</v>
      </c>
      <c r="F222" s="17">
        <v>-4.8</v>
      </c>
      <c r="G222" s="17">
        <v>-5</v>
      </c>
      <c r="H222" s="17">
        <v>-5.2</v>
      </c>
      <c r="I222" s="17">
        <v>-5.9</v>
      </c>
      <c r="J222" s="17">
        <v>-5</v>
      </c>
      <c r="K222" s="17">
        <v>-5.8</v>
      </c>
      <c r="L222" s="17">
        <v>-6</v>
      </c>
      <c r="M222" s="17">
        <v>-6.3</v>
      </c>
      <c r="N222" s="17">
        <v>-18.100000000000001</v>
      </c>
      <c r="O222" s="17">
        <v>-47.1</v>
      </c>
    </row>
    <row r="223" spans="1:15" x14ac:dyDescent="0.15">
      <c r="B223" s="51" t="s">
        <v>99</v>
      </c>
      <c r="C223" s="51"/>
      <c r="D223" s="13">
        <v>0</v>
      </c>
      <c r="E223" s="17">
        <v>-0.1</v>
      </c>
      <c r="F223" s="17">
        <v>-0.3</v>
      </c>
      <c r="G223" s="17">
        <v>-0.6</v>
      </c>
      <c r="H223" s="17">
        <v>-0.8</v>
      </c>
      <c r="I223" s="17">
        <v>-1.1000000000000001</v>
      </c>
      <c r="J223" s="17">
        <v>-1.1000000000000001</v>
      </c>
      <c r="K223" s="17">
        <v>-1.5</v>
      </c>
      <c r="L223" s="17">
        <v>-1.7</v>
      </c>
      <c r="M223" s="17">
        <v>-2</v>
      </c>
      <c r="N223" s="17">
        <v>-1.7</v>
      </c>
      <c r="O223" s="17">
        <v>-9.1999999999999904</v>
      </c>
    </row>
    <row r="226" spans="1:15" x14ac:dyDescent="0.15">
      <c r="A226" s="51" t="s">
        <v>90</v>
      </c>
      <c r="B226" s="51"/>
      <c r="C226" s="51"/>
    </row>
    <row r="227" spans="1:15" x14ac:dyDescent="0.15">
      <c r="A227" s="51" t="s">
        <v>100</v>
      </c>
      <c r="B227" s="51"/>
      <c r="C227" s="51"/>
    </row>
    <row r="228" spans="1:15" s="12" customFormat="1" x14ac:dyDescent="0.15">
      <c r="A228" s="61" t="str">
        <f ca="1">HYPERLINK("#"&amp;CELL("address", Contents!A49), "Back to Table of Contents")</f>
        <v>Back to Table of Contents</v>
      </c>
      <c r="B228" s="61"/>
      <c r="C228" s="61"/>
      <c r="D228" s="13"/>
      <c r="E228" s="13"/>
      <c r="F228" s="13"/>
      <c r="G228" s="13"/>
      <c r="H228" s="13"/>
      <c r="I228" s="13"/>
      <c r="J228" s="13"/>
      <c r="K228" s="13"/>
      <c r="L228" s="13"/>
      <c r="M228" s="13"/>
      <c r="N228" s="13"/>
      <c r="O228" s="13"/>
    </row>
    <row r="230" spans="1:15" x14ac:dyDescent="0.15">
      <c r="A230" s="65" t="s">
        <v>101</v>
      </c>
      <c r="B230" s="65"/>
    </row>
    <row r="231" spans="1:15" x14ac:dyDescent="0.15">
      <c r="A231" s="65" t="s">
        <v>102</v>
      </c>
      <c r="B231" s="65"/>
      <c r="C231" s="65"/>
      <c r="D231" s="65"/>
      <c r="O231" s="18" t="s">
        <v>178</v>
      </c>
    </row>
    <row r="233" spans="1:15" x14ac:dyDescent="0.15">
      <c r="A233" s="51" t="s">
        <v>2</v>
      </c>
      <c r="B233" s="51"/>
      <c r="D233" s="13">
        <v>2023</v>
      </c>
      <c r="E233" s="13">
        <v>2024</v>
      </c>
      <c r="F233" s="13">
        <v>2025</v>
      </c>
      <c r="G233" s="13">
        <v>2026</v>
      </c>
      <c r="H233" s="13">
        <v>2027</v>
      </c>
      <c r="I233" s="13">
        <v>2028</v>
      </c>
      <c r="J233" s="13">
        <v>2029</v>
      </c>
      <c r="K233" s="13">
        <v>2030</v>
      </c>
      <c r="L233" s="13">
        <v>2031</v>
      </c>
      <c r="M233" s="13">
        <v>2032</v>
      </c>
      <c r="N233" s="13" t="s">
        <v>3</v>
      </c>
      <c r="O233" s="13" t="s">
        <v>4</v>
      </c>
    </row>
    <row r="235" spans="1:15" x14ac:dyDescent="0.15">
      <c r="A235" s="51" t="s">
        <v>5</v>
      </c>
      <c r="B235" s="51"/>
      <c r="D235" s="13">
        <v>0</v>
      </c>
      <c r="E235" s="17">
        <v>-0.3</v>
      </c>
      <c r="F235" s="17">
        <v>-0.7</v>
      </c>
      <c r="G235" s="17">
        <v>-1</v>
      </c>
      <c r="H235" s="17">
        <v>-1.3</v>
      </c>
      <c r="I235" s="17">
        <v>-1.7</v>
      </c>
      <c r="J235" s="17">
        <v>-2</v>
      </c>
      <c r="K235" s="17">
        <v>-2.4</v>
      </c>
      <c r="L235" s="17">
        <v>-2.8</v>
      </c>
      <c r="M235" s="17">
        <v>-3.2</v>
      </c>
      <c r="N235" s="17">
        <v>-3.2</v>
      </c>
      <c r="O235" s="17">
        <v>-15.3</v>
      </c>
    </row>
    <row r="238" spans="1:15" x14ac:dyDescent="0.15">
      <c r="A238" s="51" t="s">
        <v>90</v>
      </c>
      <c r="B238" s="51"/>
      <c r="C238" s="51"/>
    </row>
    <row r="239" spans="1:15" s="12" customFormat="1" x14ac:dyDescent="0.15">
      <c r="A239" s="61" t="str">
        <f ca="1">HYPERLINK("#"&amp;CELL("address", Contents!A50), "Back to Table of Contents")</f>
        <v>Back to Table of Contents</v>
      </c>
      <c r="B239" s="61"/>
      <c r="C239" s="61"/>
      <c r="D239" s="13"/>
      <c r="E239" s="13"/>
      <c r="F239" s="13"/>
      <c r="G239" s="13"/>
      <c r="H239" s="13"/>
      <c r="I239" s="13"/>
      <c r="J239" s="13"/>
      <c r="K239" s="13"/>
      <c r="L239" s="13"/>
      <c r="M239" s="13"/>
      <c r="N239" s="13"/>
      <c r="O239" s="13"/>
    </row>
    <row r="241" spans="1:15" x14ac:dyDescent="0.15">
      <c r="A241" s="65" t="s">
        <v>103</v>
      </c>
      <c r="B241" s="65"/>
    </row>
    <row r="242" spans="1:15" x14ac:dyDescent="0.15">
      <c r="A242" s="65" t="s">
        <v>104</v>
      </c>
      <c r="B242" s="65"/>
      <c r="C242" s="65"/>
      <c r="O242" s="18" t="s">
        <v>178</v>
      </c>
    </row>
    <row r="244" spans="1:15" x14ac:dyDescent="0.15">
      <c r="A244" s="51" t="s">
        <v>2</v>
      </c>
      <c r="B244" s="51"/>
      <c r="D244" s="13">
        <v>2023</v>
      </c>
      <c r="E244" s="13">
        <v>2024</v>
      </c>
      <c r="F244" s="13">
        <v>2025</v>
      </c>
      <c r="G244" s="13">
        <v>2026</v>
      </c>
      <c r="H244" s="13">
        <v>2027</v>
      </c>
      <c r="I244" s="13">
        <v>2028</v>
      </c>
      <c r="J244" s="13">
        <v>2029</v>
      </c>
      <c r="K244" s="13">
        <v>2030</v>
      </c>
      <c r="L244" s="13">
        <v>2031</v>
      </c>
      <c r="M244" s="13">
        <v>2032</v>
      </c>
      <c r="N244" s="13" t="s">
        <v>3</v>
      </c>
      <c r="O244" s="13" t="s">
        <v>4</v>
      </c>
    </row>
    <row r="246" spans="1:15" x14ac:dyDescent="0.15">
      <c r="A246" s="51" t="s">
        <v>5</v>
      </c>
      <c r="B246" s="51"/>
    </row>
    <row r="247" spans="1:15" x14ac:dyDescent="0.15">
      <c r="B247" s="51" t="s">
        <v>105</v>
      </c>
      <c r="C247" s="51"/>
      <c r="D247" s="13">
        <v>0</v>
      </c>
      <c r="E247" s="17">
        <v>-2.9</v>
      </c>
      <c r="F247" s="17">
        <v>-4.2</v>
      </c>
      <c r="G247" s="17">
        <v>-4.5</v>
      </c>
      <c r="H247" s="17">
        <v>-4.9000000000000004</v>
      </c>
      <c r="I247" s="17">
        <v>-5.4</v>
      </c>
      <c r="J247" s="17">
        <v>-5.8</v>
      </c>
      <c r="K247" s="17">
        <v>-6.3</v>
      </c>
      <c r="L247" s="17">
        <v>-6.7</v>
      </c>
      <c r="M247" s="17">
        <v>-7.2</v>
      </c>
      <c r="N247" s="17">
        <v>-16.5</v>
      </c>
      <c r="O247" s="17">
        <v>-47.9</v>
      </c>
    </row>
    <row r="248" spans="1:15" x14ac:dyDescent="0.15">
      <c r="B248" s="51" t="s">
        <v>106</v>
      </c>
      <c r="C248" s="51"/>
      <c r="D248" s="13">
        <v>0</v>
      </c>
      <c r="E248" s="17">
        <v>-0.1</v>
      </c>
      <c r="F248" s="17">
        <v>-0.3</v>
      </c>
      <c r="G248" s="17">
        <v>-0.4</v>
      </c>
      <c r="H248" s="17">
        <v>-0.6</v>
      </c>
      <c r="I248" s="17">
        <v>-0.8</v>
      </c>
      <c r="J248" s="17">
        <v>-1</v>
      </c>
      <c r="K248" s="17">
        <v>-1.2</v>
      </c>
      <c r="L248" s="17">
        <v>-1.4</v>
      </c>
      <c r="M248" s="17">
        <v>-1.6</v>
      </c>
      <c r="N248" s="17">
        <v>-1.4</v>
      </c>
      <c r="O248" s="17">
        <v>-7.4</v>
      </c>
    </row>
    <row r="251" spans="1:15" x14ac:dyDescent="0.15">
      <c r="A251" s="51" t="s">
        <v>90</v>
      </c>
      <c r="B251" s="51"/>
      <c r="C251" s="51"/>
    </row>
    <row r="252" spans="1:15" s="12" customFormat="1" x14ac:dyDescent="0.15">
      <c r="A252" s="61" t="str">
        <f ca="1">HYPERLINK("#"&amp;CELL("address", Contents!A51), "Back to Table of Contents")</f>
        <v>Back to Table of Contents</v>
      </c>
      <c r="B252" s="61"/>
      <c r="C252" s="61"/>
      <c r="D252" s="13"/>
      <c r="E252" s="13"/>
      <c r="F252" s="13"/>
      <c r="G252" s="13"/>
      <c r="H252" s="13"/>
      <c r="I252" s="13"/>
      <c r="J252" s="13"/>
      <c r="K252" s="13"/>
      <c r="L252" s="13"/>
      <c r="M252" s="13"/>
      <c r="N252" s="13"/>
      <c r="O252" s="13"/>
    </row>
    <row r="254" spans="1:15" x14ac:dyDescent="0.15">
      <c r="A254" s="65" t="s">
        <v>107</v>
      </c>
      <c r="B254" s="65"/>
    </row>
    <row r="255" spans="1:15" x14ac:dyDescent="0.15">
      <c r="A255" s="65" t="s">
        <v>108</v>
      </c>
      <c r="B255" s="65"/>
      <c r="C255" s="65"/>
      <c r="K255" s="62" t="s">
        <v>179</v>
      </c>
      <c r="L255" s="62"/>
      <c r="M255" s="62"/>
      <c r="N255" s="62"/>
      <c r="O255" s="62"/>
    </row>
    <row r="257" spans="1:15" x14ac:dyDescent="0.15">
      <c r="A257" s="51" t="s">
        <v>2</v>
      </c>
      <c r="B257" s="51"/>
      <c r="D257" s="13">
        <v>2023</v>
      </c>
      <c r="E257" s="13">
        <v>2024</v>
      </c>
      <c r="F257" s="13">
        <v>2025</v>
      </c>
      <c r="G257" s="13">
        <v>2026</v>
      </c>
      <c r="H257" s="13">
        <v>2027</v>
      </c>
      <c r="I257" s="13">
        <v>2028</v>
      </c>
      <c r="J257" s="13">
        <v>2029</v>
      </c>
      <c r="K257" s="13">
        <v>2030</v>
      </c>
      <c r="L257" s="13">
        <v>2031</v>
      </c>
      <c r="M257" s="13">
        <v>2032</v>
      </c>
      <c r="N257" s="13" t="s">
        <v>3</v>
      </c>
      <c r="O257" s="13" t="s">
        <v>4</v>
      </c>
    </row>
    <row r="259" spans="1:15" x14ac:dyDescent="0.15">
      <c r="A259" s="51" t="s">
        <v>5</v>
      </c>
      <c r="B259" s="51"/>
    </row>
    <row r="260" spans="1:15" x14ac:dyDescent="0.15">
      <c r="B260" s="51" t="s">
        <v>109</v>
      </c>
      <c r="C260" s="51"/>
      <c r="D260" s="13">
        <v>0</v>
      </c>
      <c r="E260" s="17">
        <v>-2.5</v>
      </c>
      <c r="F260" s="17">
        <v>-6.1</v>
      </c>
      <c r="G260" s="17">
        <v>-10</v>
      </c>
      <c r="H260" s="17">
        <v>-14.2</v>
      </c>
      <c r="I260" s="17">
        <v>-18.7</v>
      </c>
      <c r="J260" s="17">
        <v>-23.4</v>
      </c>
      <c r="K260" s="17">
        <v>-28.3</v>
      </c>
      <c r="L260" s="17">
        <v>-33.4</v>
      </c>
      <c r="M260" s="17">
        <v>-38.700000000000003</v>
      </c>
      <c r="N260" s="17">
        <v>-32.6</v>
      </c>
      <c r="O260" s="17">
        <v>-175.2</v>
      </c>
    </row>
    <row r="261" spans="1:15" ht="15" x14ac:dyDescent="0.15">
      <c r="B261" s="51" t="s">
        <v>184</v>
      </c>
      <c r="C261" s="51"/>
      <c r="D261" s="13">
        <v>0</v>
      </c>
      <c r="E261" s="17">
        <v>-0.6</v>
      </c>
      <c r="F261" s="17">
        <v>-1.6</v>
      </c>
      <c r="G261" s="17">
        <v>-2.5</v>
      </c>
      <c r="H261" s="17">
        <v>-3.3</v>
      </c>
      <c r="I261" s="17">
        <v>-4.4000000000000004</v>
      </c>
      <c r="J261" s="17">
        <v>-5.2</v>
      </c>
      <c r="K261" s="17">
        <v>-6.3</v>
      </c>
      <c r="L261" s="17">
        <v>-7.4</v>
      </c>
      <c r="M261" s="17">
        <v>-8.1</v>
      </c>
      <c r="N261" s="17">
        <v>-8.1</v>
      </c>
      <c r="O261" s="17">
        <v>-39.4</v>
      </c>
    </row>
    <row r="262" spans="1:15" ht="15" x14ac:dyDescent="0.15">
      <c r="B262" s="51" t="s">
        <v>185</v>
      </c>
      <c r="C262" s="51"/>
      <c r="D262" s="13">
        <v>0</v>
      </c>
      <c r="E262" s="17">
        <v>0.1</v>
      </c>
      <c r="F262" s="17">
        <v>0.2</v>
      </c>
      <c r="G262" s="17">
        <v>0.3</v>
      </c>
      <c r="H262" s="17">
        <v>0.4</v>
      </c>
      <c r="I262" s="17">
        <v>0.5</v>
      </c>
      <c r="J262" s="17">
        <v>0.5</v>
      </c>
      <c r="K262" s="17">
        <v>0.6</v>
      </c>
      <c r="L262" s="17">
        <v>0.7</v>
      </c>
      <c r="M262" s="17">
        <v>0.8</v>
      </c>
      <c r="N262" s="17">
        <v>0.8</v>
      </c>
      <c r="O262" s="17">
        <v>4</v>
      </c>
    </row>
    <row r="263" spans="1:15" ht="15" x14ac:dyDescent="0.15">
      <c r="B263" s="51" t="s">
        <v>186</v>
      </c>
      <c r="C263" s="51"/>
      <c r="D263" s="13">
        <v>0</v>
      </c>
      <c r="E263" s="17">
        <v>-0.3</v>
      </c>
      <c r="F263" s="17">
        <v>-1.1000000000000001</v>
      </c>
      <c r="G263" s="17">
        <v>-2</v>
      </c>
      <c r="H263" s="17">
        <v>-2.5</v>
      </c>
      <c r="I263" s="17">
        <v>-3.4</v>
      </c>
      <c r="J263" s="17">
        <v>-4.4000000000000004</v>
      </c>
      <c r="K263" s="17">
        <v>-6.9</v>
      </c>
      <c r="L263" s="17">
        <v>-10.6</v>
      </c>
      <c r="M263" s="17">
        <v>-10</v>
      </c>
      <c r="N263" s="17">
        <v>-5.9</v>
      </c>
      <c r="O263" s="17">
        <v>-41.3</v>
      </c>
    </row>
    <row r="264" spans="1:15" ht="15" x14ac:dyDescent="0.15">
      <c r="B264" s="51" t="s">
        <v>187</v>
      </c>
      <c r="C264" s="51"/>
      <c r="D264" s="30" t="s">
        <v>51</v>
      </c>
      <c r="E264" s="19" t="s">
        <v>110</v>
      </c>
      <c r="F264" s="19" t="s">
        <v>11</v>
      </c>
      <c r="G264" s="19" t="s">
        <v>11</v>
      </c>
      <c r="H264" s="19" t="s">
        <v>111</v>
      </c>
      <c r="I264" s="19" t="s">
        <v>62</v>
      </c>
      <c r="J264" s="19" t="s">
        <v>112</v>
      </c>
      <c r="K264" s="19" t="s">
        <v>12</v>
      </c>
      <c r="L264" s="19" t="s">
        <v>113</v>
      </c>
      <c r="M264" s="19" t="s">
        <v>114</v>
      </c>
      <c r="N264" s="19" t="s">
        <v>115</v>
      </c>
      <c r="O264" s="19" t="s">
        <v>116</v>
      </c>
    </row>
    <row r="265" spans="1:15" x14ac:dyDescent="0.15">
      <c r="C265" s="1" t="s">
        <v>15</v>
      </c>
      <c r="D265" s="13">
        <v>0</v>
      </c>
      <c r="E265" s="17">
        <v>-3.4</v>
      </c>
      <c r="F265" s="17">
        <v>-8.8000000000000007</v>
      </c>
      <c r="G265" s="17">
        <v>-14.4</v>
      </c>
      <c r="H265" s="17">
        <v>-20</v>
      </c>
      <c r="I265" s="17">
        <v>-26.5</v>
      </c>
      <c r="J265" s="17">
        <v>-33.1</v>
      </c>
      <c r="K265" s="17">
        <v>-41.7</v>
      </c>
      <c r="L265" s="17">
        <v>-51.7</v>
      </c>
      <c r="M265" s="17">
        <v>-57.1</v>
      </c>
      <c r="N265" s="17">
        <v>-46.5</v>
      </c>
      <c r="O265" s="17">
        <v>-256.60000000000002</v>
      </c>
    </row>
    <row r="266" spans="1:15" ht="15" x14ac:dyDescent="0.15">
      <c r="A266" s="51" t="s">
        <v>357</v>
      </c>
      <c r="B266" s="51"/>
      <c r="C266" s="51"/>
      <c r="D266" s="13">
        <v>0</v>
      </c>
      <c r="E266" s="17" t="s">
        <v>33</v>
      </c>
      <c r="F266" s="17" t="s">
        <v>33</v>
      </c>
      <c r="G266" s="17">
        <v>-0.1</v>
      </c>
      <c r="H266" s="17" t="s">
        <v>33</v>
      </c>
      <c r="I266" s="17" t="s">
        <v>33</v>
      </c>
      <c r="J266" s="17" t="s">
        <v>33</v>
      </c>
      <c r="K266" s="17" t="s">
        <v>33</v>
      </c>
      <c r="L266" s="17" t="s">
        <v>33</v>
      </c>
      <c r="M266" s="17" t="s">
        <v>33</v>
      </c>
      <c r="N266" s="17">
        <v>-0.1</v>
      </c>
      <c r="O266" s="17">
        <v>-0.1</v>
      </c>
    </row>
    <row r="267" spans="1:15" x14ac:dyDescent="0.15">
      <c r="A267" s="51" t="s">
        <v>117</v>
      </c>
      <c r="B267" s="51"/>
      <c r="C267" s="51"/>
      <c r="D267" s="13">
        <v>0</v>
      </c>
      <c r="E267" s="17">
        <v>-3.4</v>
      </c>
      <c r="F267" s="17">
        <v>-8.6999999999999904</v>
      </c>
      <c r="G267" s="17">
        <v>-14.3</v>
      </c>
      <c r="H267" s="17">
        <v>-20.100000000000001</v>
      </c>
      <c r="I267" s="17">
        <v>-26.5</v>
      </c>
      <c r="J267" s="17">
        <v>-33.1</v>
      </c>
      <c r="K267" s="17">
        <v>-41.7</v>
      </c>
      <c r="L267" s="17">
        <v>-51.7</v>
      </c>
      <c r="M267" s="17">
        <v>-57.1</v>
      </c>
      <c r="N267" s="17">
        <v>-46.5</v>
      </c>
      <c r="O267" s="17">
        <v>-256.5</v>
      </c>
    </row>
    <row r="270" spans="1:15" x14ac:dyDescent="0.15">
      <c r="A270" s="51" t="s">
        <v>41</v>
      </c>
      <c r="B270" s="51"/>
      <c r="C270" s="51"/>
      <c r="D270" s="24"/>
    </row>
    <row r="271" spans="1:15" x14ac:dyDescent="0.15">
      <c r="A271" s="51" t="s">
        <v>90</v>
      </c>
      <c r="B271" s="51"/>
      <c r="C271" s="51"/>
    </row>
    <row r="272" spans="1:15" x14ac:dyDescent="0.15">
      <c r="A272" s="51" t="s">
        <v>91</v>
      </c>
      <c r="B272" s="51"/>
      <c r="C272" s="51"/>
      <c r="D272" s="51"/>
      <c r="E272" s="51"/>
      <c r="F272" s="51"/>
    </row>
    <row r="273" spans="1:15" x14ac:dyDescent="0.15">
      <c r="A273" s="51" t="s">
        <v>386</v>
      </c>
      <c r="B273" s="51"/>
      <c r="C273" s="51"/>
      <c r="D273" s="51"/>
      <c r="E273" s="51"/>
      <c r="F273" s="51"/>
      <c r="G273" s="24"/>
      <c r="H273" s="24"/>
      <c r="I273" s="24"/>
    </row>
    <row r="274" spans="1:15" x14ac:dyDescent="0.15">
      <c r="A274" s="64" t="s">
        <v>118</v>
      </c>
      <c r="B274" s="64"/>
      <c r="C274" s="64"/>
      <c r="D274" s="64"/>
      <c r="E274" s="64"/>
      <c r="F274" s="64"/>
      <c r="G274" s="64"/>
      <c r="H274" s="64"/>
      <c r="I274" s="64"/>
      <c r="J274" s="64"/>
      <c r="K274" s="64"/>
      <c r="L274" s="64"/>
      <c r="M274" s="64"/>
      <c r="N274" s="64"/>
      <c r="O274" s="64"/>
    </row>
    <row r="275" spans="1:15" x14ac:dyDescent="0.15">
      <c r="A275" s="64"/>
      <c r="B275" s="64"/>
      <c r="C275" s="64"/>
      <c r="D275" s="64"/>
      <c r="E275" s="64"/>
      <c r="F275" s="64"/>
      <c r="G275" s="64"/>
      <c r="H275" s="64"/>
      <c r="I275" s="64"/>
      <c r="J275" s="64"/>
      <c r="K275" s="64"/>
      <c r="L275" s="64"/>
      <c r="M275" s="64"/>
      <c r="N275" s="64"/>
      <c r="O275" s="64"/>
    </row>
    <row r="276" spans="1:15" x14ac:dyDescent="0.15">
      <c r="A276" s="64" t="s">
        <v>119</v>
      </c>
      <c r="B276" s="64"/>
      <c r="C276" s="64"/>
      <c r="D276" s="64"/>
      <c r="E276" s="64"/>
      <c r="F276" s="64"/>
      <c r="G276" s="64"/>
      <c r="H276" s="64"/>
      <c r="I276" s="64"/>
      <c r="J276" s="64"/>
      <c r="K276" s="64"/>
      <c r="L276" s="64"/>
      <c r="M276" s="64"/>
      <c r="N276" s="64"/>
      <c r="O276" s="64"/>
    </row>
    <row r="277" spans="1:15" x14ac:dyDescent="0.15">
      <c r="A277" s="64"/>
      <c r="B277" s="64"/>
      <c r="C277" s="64"/>
      <c r="D277" s="64"/>
      <c r="E277" s="64"/>
      <c r="F277" s="64"/>
      <c r="G277" s="64"/>
      <c r="H277" s="64"/>
      <c r="I277" s="64"/>
      <c r="J277" s="64"/>
      <c r="K277" s="64"/>
      <c r="L277" s="64"/>
      <c r="M277" s="64"/>
      <c r="N277" s="64"/>
      <c r="O277" s="64"/>
    </row>
    <row r="278" spans="1:15" x14ac:dyDescent="0.15">
      <c r="A278" s="64" t="s">
        <v>120</v>
      </c>
      <c r="B278" s="64"/>
      <c r="C278" s="64"/>
      <c r="D278" s="64"/>
      <c r="E278" s="64"/>
      <c r="F278" s="64"/>
      <c r="G278" s="64"/>
      <c r="H278" s="64"/>
      <c r="I278" s="64"/>
      <c r="J278" s="64"/>
      <c r="K278" s="64"/>
      <c r="L278" s="64"/>
      <c r="M278" s="64"/>
      <c r="N278" s="64"/>
      <c r="O278" s="64"/>
    </row>
    <row r="279" spans="1:15" x14ac:dyDescent="0.15">
      <c r="A279" s="64"/>
      <c r="B279" s="64"/>
      <c r="C279" s="64"/>
      <c r="D279" s="64"/>
      <c r="E279" s="64"/>
      <c r="F279" s="64"/>
      <c r="G279" s="64"/>
      <c r="H279" s="64"/>
      <c r="I279" s="64"/>
      <c r="J279" s="64"/>
      <c r="K279" s="64"/>
      <c r="L279" s="64"/>
      <c r="M279" s="64"/>
      <c r="N279" s="64"/>
      <c r="O279" s="64"/>
    </row>
    <row r="280" spans="1:15" ht="14.25" customHeight="1" x14ac:dyDescent="0.15">
      <c r="A280" s="64" t="s">
        <v>121</v>
      </c>
      <c r="B280" s="64"/>
      <c r="C280" s="64"/>
      <c r="D280" s="64"/>
      <c r="E280" s="64"/>
      <c r="F280" s="64"/>
      <c r="G280" s="64"/>
      <c r="H280" s="64"/>
      <c r="I280" s="64"/>
      <c r="J280" s="64"/>
      <c r="K280" s="64"/>
      <c r="L280" s="64"/>
      <c r="M280" s="64"/>
      <c r="N280" s="64"/>
      <c r="O280" s="64"/>
    </row>
    <row r="281" spans="1:15" x14ac:dyDescent="0.15">
      <c r="A281" s="64"/>
      <c r="B281" s="64"/>
      <c r="C281" s="64"/>
      <c r="D281" s="64"/>
      <c r="E281" s="64"/>
      <c r="F281" s="64"/>
      <c r="G281" s="64"/>
      <c r="H281" s="64"/>
      <c r="I281" s="64"/>
      <c r="J281" s="64"/>
      <c r="K281" s="64"/>
      <c r="L281" s="64"/>
      <c r="M281" s="64"/>
      <c r="N281" s="64"/>
      <c r="O281" s="64"/>
    </row>
    <row r="282" spans="1:15" s="12" customFormat="1" x14ac:dyDescent="0.15">
      <c r="A282" s="64"/>
      <c r="B282" s="64"/>
      <c r="C282" s="64"/>
      <c r="D282" s="64"/>
      <c r="E282" s="64"/>
      <c r="F282" s="64"/>
      <c r="G282" s="64"/>
      <c r="H282" s="64"/>
      <c r="I282" s="64"/>
      <c r="J282" s="64"/>
      <c r="K282" s="64"/>
      <c r="L282" s="64"/>
      <c r="M282" s="64"/>
      <c r="N282" s="64"/>
      <c r="O282" s="64"/>
    </row>
    <row r="283" spans="1:15" x14ac:dyDescent="0.15">
      <c r="A283" s="51" t="s">
        <v>122</v>
      </c>
      <c r="B283" s="51"/>
      <c r="C283" s="51"/>
      <c r="D283" s="51"/>
      <c r="E283" s="51"/>
      <c r="F283" s="51"/>
      <c r="G283" s="24"/>
      <c r="H283" s="24"/>
    </row>
    <row r="284" spans="1:15" x14ac:dyDescent="0.15">
      <c r="A284" s="61" t="str">
        <f ca="1">HYPERLINK("#"&amp;CELL("address", Contents!A52), "Back to Table of Contents")</f>
        <v>Back to Table of Contents</v>
      </c>
      <c r="B284" s="61"/>
      <c r="C284" s="61"/>
    </row>
  </sheetData>
  <mergeCells count="160">
    <mergeCell ref="B264:C264"/>
    <mergeCell ref="A266:C266"/>
    <mergeCell ref="A267:C267"/>
    <mergeCell ref="A270:C270"/>
    <mergeCell ref="A54:O55"/>
    <mergeCell ref="A101:O102"/>
    <mergeCell ref="N165:O165"/>
    <mergeCell ref="A64:C64"/>
    <mergeCell ref="A65:C65"/>
    <mergeCell ref="B66:C66"/>
    <mergeCell ref="A70:C70"/>
    <mergeCell ref="A71:M71"/>
    <mergeCell ref="A72:C72"/>
    <mergeCell ref="A73:C73"/>
    <mergeCell ref="A76:D76"/>
    <mergeCell ref="A78:B78"/>
    <mergeCell ref="D80:O80"/>
    <mergeCell ref="D87:O87"/>
    <mergeCell ref="A81:C81"/>
    <mergeCell ref="A82:C82"/>
    <mergeCell ref="A84:C84"/>
    <mergeCell ref="B85:C85"/>
    <mergeCell ref="A125:B125"/>
    <mergeCell ref="A131:C131"/>
    <mergeCell ref="A1:O1"/>
    <mergeCell ref="A2:O2"/>
    <mergeCell ref="A32:C32"/>
    <mergeCell ref="A34:B34"/>
    <mergeCell ref="A28:C28"/>
    <mergeCell ref="A29:C29"/>
    <mergeCell ref="A39:C39"/>
    <mergeCell ref="A40:C40"/>
    <mergeCell ref="A36:B36"/>
    <mergeCell ref="A15:C15"/>
    <mergeCell ref="A14:C14"/>
    <mergeCell ref="A4:C4"/>
    <mergeCell ref="A7:C7"/>
    <mergeCell ref="A9:B9"/>
    <mergeCell ref="A11:B11"/>
    <mergeCell ref="B23:C23"/>
    <mergeCell ref="B24:C24"/>
    <mergeCell ref="A18:C18"/>
    <mergeCell ref="A20:B20"/>
    <mergeCell ref="A22:B22"/>
    <mergeCell ref="A43:C43"/>
    <mergeCell ref="B48:C48"/>
    <mergeCell ref="B49:C49"/>
    <mergeCell ref="B50:C50"/>
    <mergeCell ref="A57:C57"/>
    <mergeCell ref="A60:C60"/>
    <mergeCell ref="A62:B62"/>
    <mergeCell ref="A106:C106"/>
    <mergeCell ref="A117:C117"/>
    <mergeCell ref="A97:C97"/>
    <mergeCell ref="A98:C98"/>
    <mergeCell ref="A99:C99"/>
    <mergeCell ref="A100:C100"/>
    <mergeCell ref="A103:C103"/>
    <mergeCell ref="A88:C88"/>
    <mergeCell ref="A89:C89"/>
    <mergeCell ref="B90:C90"/>
    <mergeCell ref="A91:C91"/>
    <mergeCell ref="A96:C96"/>
    <mergeCell ref="A132:C132"/>
    <mergeCell ref="A136:C136"/>
    <mergeCell ref="A138:B138"/>
    <mergeCell ref="A118:C118"/>
    <mergeCell ref="A121:C121"/>
    <mergeCell ref="A123:B123"/>
    <mergeCell ref="A108:B108"/>
    <mergeCell ref="A110:B110"/>
    <mergeCell ref="A116:C116"/>
    <mergeCell ref="A153:B153"/>
    <mergeCell ref="A155:B155"/>
    <mergeCell ref="B156:C156"/>
    <mergeCell ref="B157:C157"/>
    <mergeCell ref="B158:C158"/>
    <mergeCell ref="A147:O147"/>
    <mergeCell ref="A148:C148"/>
    <mergeCell ref="A133:C133"/>
    <mergeCell ref="A150:B150"/>
    <mergeCell ref="A151:C151"/>
    <mergeCell ref="A140:B140"/>
    <mergeCell ref="B141:C141"/>
    <mergeCell ref="B142:C142"/>
    <mergeCell ref="B143:C143"/>
    <mergeCell ref="A146:C146"/>
    <mergeCell ref="A169:B169"/>
    <mergeCell ref="B170:C170"/>
    <mergeCell ref="B171:C171"/>
    <mergeCell ref="A174:C174"/>
    <mergeCell ref="A175:C175"/>
    <mergeCell ref="A161:C161"/>
    <mergeCell ref="A162:C162"/>
    <mergeCell ref="A164:B164"/>
    <mergeCell ref="A165:C165"/>
    <mergeCell ref="A167:B167"/>
    <mergeCell ref="A186:C186"/>
    <mergeCell ref="A187:C187"/>
    <mergeCell ref="A189:C189"/>
    <mergeCell ref="A190:C190"/>
    <mergeCell ref="A192:B192"/>
    <mergeCell ref="A176:C176"/>
    <mergeCell ref="A179:F179"/>
    <mergeCell ref="A178:B178"/>
    <mergeCell ref="A181:B181"/>
    <mergeCell ref="A183:B183"/>
    <mergeCell ref="A203:C203"/>
    <mergeCell ref="A205:B205"/>
    <mergeCell ref="A207:B207"/>
    <mergeCell ref="A210:C210"/>
    <mergeCell ref="A211:C211"/>
    <mergeCell ref="A197:C197"/>
    <mergeCell ref="A198:C198"/>
    <mergeCell ref="A199:C199"/>
    <mergeCell ref="A200:C200"/>
    <mergeCell ref="A202:B202"/>
    <mergeCell ref="A219:B219"/>
    <mergeCell ref="A221:B221"/>
    <mergeCell ref="B222:C222"/>
    <mergeCell ref="B223:C223"/>
    <mergeCell ref="A226:C226"/>
    <mergeCell ref="A212:O213"/>
    <mergeCell ref="A214:C214"/>
    <mergeCell ref="A217:E217"/>
    <mergeCell ref="A216:B216"/>
    <mergeCell ref="A235:B235"/>
    <mergeCell ref="A238:C238"/>
    <mergeCell ref="A239:C239"/>
    <mergeCell ref="A241:B241"/>
    <mergeCell ref="A242:C242"/>
    <mergeCell ref="A227:C227"/>
    <mergeCell ref="A228:C228"/>
    <mergeCell ref="A230:B230"/>
    <mergeCell ref="A231:D231"/>
    <mergeCell ref="A233:B233"/>
    <mergeCell ref="A283:F283"/>
    <mergeCell ref="A284:C284"/>
    <mergeCell ref="A252:C252"/>
    <mergeCell ref="A254:B254"/>
    <mergeCell ref="A255:C255"/>
    <mergeCell ref="A257:B257"/>
    <mergeCell ref="A259:B259"/>
    <mergeCell ref="A244:B244"/>
    <mergeCell ref="A246:B246"/>
    <mergeCell ref="B247:C247"/>
    <mergeCell ref="B248:C248"/>
    <mergeCell ref="A251:C251"/>
    <mergeCell ref="A274:O275"/>
    <mergeCell ref="A276:O277"/>
    <mergeCell ref="A278:O279"/>
    <mergeCell ref="A280:O282"/>
    <mergeCell ref="A273:F273"/>
    <mergeCell ref="K255:O255"/>
    <mergeCell ref="A271:C271"/>
    <mergeCell ref="A272:F272"/>
    <mergeCell ref="B260:C260"/>
    <mergeCell ref="B261:C261"/>
    <mergeCell ref="B262:C262"/>
    <mergeCell ref="B263:C263"/>
  </mergeCells>
  <hyperlinks>
    <hyperlink ref="A2" r:id="rId1" xr:uid="{F3541871-B403-43E9-91F0-1C2F224C840C}"/>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0FCE-FC63-4960-9B98-B79E3A482B14}">
  <dimension ref="A1:O312"/>
  <sheetViews>
    <sheetView workbookViewId="0">
      <selection activeCell="B157" sqref="B157"/>
    </sheetView>
  </sheetViews>
  <sheetFormatPr baseColWidth="10" defaultColWidth="9.1640625" defaultRowHeight="14" x14ac:dyDescent="0.15"/>
  <cols>
    <col min="1" max="1" width="9.1640625" style="12"/>
    <col min="2" max="2" width="92.1640625" style="12" customWidth="1"/>
    <col min="3" max="12" width="9.1640625" style="13"/>
    <col min="13" max="14" width="14.1640625" style="13" customWidth="1"/>
    <col min="15" max="16384" width="9.1640625" style="12"/>
  </cols>
  <sheetData>
    <row r="1" spans="1:15" x14ac:dyDescent="0.15">
      <c r="A1" s="67" t="s">
        <v>382</v>
      </c>
      <c r="B1" s="67"/>
      <c r="C1" s="67"/>
      <c r="D1" s="67"/>
      <c r="E1" s="67"/>
      <c r="F1" s="67"/>
      <c r="G1" s="67"/>
      <c r="H1" s="67"/>
      <c r="I1" s="67"/>
      <c r="J1" s="67"/>
      <c r="K1" s="67"/>
      <c r="L1" s="67"/>
      <c r="M1" s="67"/>
      <c r="N1" s="67"/>
      <c r="O1" s="67"/>
    </row>
    <row r="2" spans="1:15" x14ac:dyDescent="0.15">
      <c r="A2" s="61" t="s">
        <v>365</v>
      </c>
      <c r="B2" s="61"/>
      <c r="C2" s="61"/>
      <c r="D2" s="61"/>
      <c r="E2" s="61"/>
      <c r="F2" s="61"/>
      <c r="G2" s="61"/>
      <c r="H2" s="61"/>
      <c r="I2" s="61"/>
      <c r="J2" s="61"/>
      <c r="K2" s="61"/>
      <c r="L2" s="61"/>
      <c r="M2" s="61"/>
      <c r="N2" s="61"/>
      <c r="O2" s="13"/>
    </row>
    <row r="3" spans="1:15" x14ac:dyDescent="0.15">
      <c r="O3" s="13"/>
    </row>
    <row r="4" spans="1:15" x14ac:dyDescent="0.15">
      <c r="A4" s="65" t="s">
        <v>360</v>
      </c>
      <c r="B4" s="65"/>
      <c r="C4" s="23"/>
      <c r="O4" s="13"/>
    </row>
    <row r="5" spans="1:15" x14ac:dyDescent="0.15">
      <c r="O5" s="13"/>
    </row>
    <row r="6" spans="1:15" x14ac:dyDescent="0.15">
      <c r="A6" s="29" t="s">
        <v>127</v>
      </c>
      <c r="B6" s="29"/>
    </row>
    <row r="7" spans="1:15" x14ac:dyDescent="0.15">
      <c r="A7" s="29" t="s">
        <v>188</v>
      </c>
      <c r="B7" s="26"/>
      <c r="N7" s="18" t="s">
        <v>345</v>
      </c>
    </row>
    <row r="9" spans="1:15" x14ac:dyDescent="0.15">
      <c r="A9" s="51" t="s">
        <v>2</v>
      </c>
      <c r="B9" s="51"/>
      <c r="C9" s="13">
        <v>2023</v>
      </c>
      <c r="D9" s="13">
        <v>2024</v>
      </c>
      <c r="E9" s="13">
        <v>2025</v>
      </c>
      <c r="F9" s="13">
        <v>2026</v>
      </c>
      <c r="G9" s="13">
        <v>2027</v>
      </c>
      <c r="H9" s="13">
        <v>2028</v>
      </c>
      <c r="I9" s="13">
        <v>2029</v>
      </c>
      <c r="J9" s="13">
        <v>2030</v>
      </c>
      <c r="K9" s="13">
        <v>2031</v>
      </c>
      <c r="L9" s="13">
        <v>2032</v>
      </c>
      <c r="M9" s="13" t="s">
        <v>3</v>
      </c>
      <c r="N9" s="13" t="s">
        <v>4</v>
      </c>
    </row>
    <row r="11" spans="1:15" x14ac:dyDescent="0.15">
      <c r="A11" s="51" t="s">
        <v>30</v>
      </c>
      <c r="B11" s="51"/>
    </row>
    <row r="12" spans="1:15" x14ac:dyDescent="0.15">
      <c r="B12" s="12" t="s">
        <v>31</v>
      </c>
      <c r="C12" s="22">
        <v>0</v>
      </c>
      <c r="D12" s="17">
        <v>-0.4</v>
      </c>
      <c r="E12" s="17">
        <v>-1</v>
      </c>
      <c r="F12" s="17">
        <v>-1.7</v>
      </c>
      <c r="G12" s="17">
        <v>-2.4</v>
      </c>
      <c r="H12" s="17">
        <v>-3.1</v>
      </c>
      <c r="I12" s="17">
        <v>-3.4</v>
      </c>
      <c r="J12" s="17">
        <v>-3.5</v>
      </c>
      <c r="K12" s="17">
        <v>-3.6</v>
      </c>
      <c r="L12" s="17">
        <v>-3.7</v>
      </c>
      <c r="M12" s="17">
        <v>-5.5</v>
      </c>
      <c r="N12" s="17">
        <v>-22.8</v>
      </c>
    </row>
    <row r="13" spans="1:15" x14ac:dyDescent="0.15">
      <c r="B13" s="12" t="s">
        <v>32</v>
      </c>
      <c r="C13" s="22">
        <v>0</v>
      </c>
      <c r="D13" s="17">
        <v>-0.4</v>
      </c>
      <c r="E13" s="17">
        <v>-1</v>
      </c>
      <c r="F13" s="17">
        <v>-1.6</v>
      </c>
      <c r="G13" s="17">
        <v>-2.2999999999999998</v>
      </c>
      <c r="H13" s="17">
        <v>-3</v>
      </c>
      <c r="I13" s="17">
        <v>-3.3</v>
      </c>
      <c r="J13" s="17">
        <v>-3.5</v>
      </c>
      <c r="K13" s="17">
        <v>-3.6</v>
      </c>
      <c r="L13" s="17">
        <v>-3.7</v>
      </c>
      <c r="M13" s="17">
        <v>-5.3</v>
      </c>
      <c r="N13" s="17">
        <v>-22.4</v>
      </c>
    </row>
    <row r="14" spans="1:15" x14ac:dyDescent="0.15">
      <c r="A14" s="51" t="s">
        <v>29</v>
      </c>
      <c r="B14" s="51"/>
      <c r="C14" s="22">
        <v>0</v>
      </c>
      <c r="D14" s="17">
        <v>0.1</v>
      </c>
      <c r="E14" s="17">
        <v>0.3</v>
      </c>
      <c r="F14" s="17">
        <v>0.5</v>
      </c>
      <c r="G14" s="17">
        <v>0.7</v>
      </c>
      <c r="H14" s="17">
        <v>0.9</v>
      </c>
      <c r="I14" s="17">
        <v>1</v>
      </c>
      <c r="J14" s="17">
        <v>1</v>
      </c>
      <c r="K14" s="17">
        <v>1.1000000000000001</v>
      </c>
      <c r="L14" s="17">
        <v>1.1000000000000001</v>
      </c>
      <c r="M14" s="17">
        <v>1.6</v>
      </c>
      <c r="N14" s="17">
        <v>6.7</v>
      </c>
    </row>
    <row r="17" spans="1:14" x14ac:dyDescent="0.15">
      <c r="A17" s="51" t="s">
        <v>90</v>
      </c>
      <c r="B17" s="51"/>
    </row>
    <row r="18" spans="1:14" ht="14.25" customHeight="1" x14ac:dyDescent="0.15">
      <c r="A18" s="64" t="s">
        <v>189</v>
      </c>
      <c r="B18" s="64"/>
      <c r="C18" s="64"/>
      <c r="D18" s="64"/>
      <c r="E18" s="64"/>
      <c r="F18" s="64"/>
      <c r="G18" s="64"/>
      <c r="H18" s="64"/>
      <c r="I18" s="64"/>
      <c r="J18" s="64"/>
      <c r="K18" s="64"/>
      <c r="L18" s="64"/>
      <c r="M18" s="64"/>
      <c r="N18" s="64"/>
    </row>
    <row r="19" spans="1:14" x14ac:dyDescent="0.15">
      <c r="A19" s="64"/>
      <c r="B19" s="64"/>
      <c r="C19" s="64"/>
      <c r="D19" s="64"/>
      <c r="E19" s="64"/>
      <c r="F19" s="64"/>
      <c r="G19" s="64"/>
      <c r="H19" s="64"/>
      <c r="I19" s="64"/>
      <c r="J19" s="64"/>
      <c r="K19" s="64"/>
      <c r="L19" s="64"/>
      <c r="M19" s="64"/>
      <c r="N19" s="64"/>
    </row>
    <row r="20" spans="1:14" x14ac:dyDescent="0.15">
      <c r="A20" s="64"/>
      <c r="B20" s="64"/>
      <c r="C20" s="64"/>
      <c r="D20" s="64"/>
      <c r="E20" s="64"/>
      <c r="F20" s="64"/>
      <c r="G20" s="64"/>
      <c r="H20" s="64"/>
      <c r="I20" s="64"/>
      <c r="J20" s="64"/>
      <c r="K20" s="64"/>
      <c r="L20" s="64"/>
      <c r="M20" s="64"/>
      <c r="N20" s="64"/>
    </row>
    <row r="21" spans="1:14" x14ac:dyDescent="0.15">
      <c r="A21" s="61" t="str">
        <f ca="1">HYPERLINK("#"&amp;CELL("address", Contents!A56), "Back to Table of Contents")</f>
        <v>Back to Table of Contents</v>
      </c>
      <c r="B21" s="61"/>
    </row>
    <row r="23" spans="1:14" x14ac:dyDescent="0.15">
      <c r="A23" s="65" t="s">
        <v>128</v>
      </c>
      <c r="B23" s="65"/>
    </row>
    <row r="24" spans="1:14" x14ac:dyDescent="0.15">
      <c r="A24" s="65" t="s">
        <v>190</v>
      </c>
      <c r="B24" s="65"/>
      <c r="N24" s="18" t="s">
        <v>345</v>
      </c>
    </row>
    <row r="26" spans="1:14" x14ac:dyDescent="0.15">
      <c r="A26" s="51" t="s">
        <v>2</v>
      </c>
      <c r="B26" s="51"/>
      <c r="C26" s="13">
        <v>2023</v>
      </c>
      <c r="D26" s="13">
        <v>2024</v>
      </c>
      <c r="E26" s="13">
        <v>2025</v>
      </c>
      <c r="F26" s="13">
        <v>2026</v>
      </c>
      <c r="G26" s="13">
        <v>2027</v>
      </c>
      <c r="H26" s="13">
        <v>2028</v>
      </c>
      <c r="I26" s="13">
        <v>2029</v>
      </c>
      <c r="J26" s="13">
        <v>2030</v>
      </c>
      <c r="K26" s="13">
        <v>2031</v>
      </c>
      <c r="L26" s="13">
        <v>2032</v>
      </c>
      <c r="M26" s="13" t="s">
        <v>3</v>
      </c>
      <c r="N26" s="13" t="s">
        <v>4</v>
      </c>
    </row>
    <row r="28" spans="1:14" x14ac:dyDescent="0.15">
      <c r="A28" s="51" t="s">
        <v>30</v>
      </c>
      <c r="B28" s="51"/>
    </row>
    <row r="29" spans="1:14" x14ac:dyDescent="0.15">
      <c r="B29" s="12" t="s">
        <v>31</v>
      </c>
      <c r="C29" s="22">
        <v>0</v>
      </c>
      <c r="D29" s="17">
        <v>-0.3</v>
      </c>
      <c r="E29" s="17">
        <v>-0.9</v>
      </c>
      <c r="F29" s="17">
        <v>-1.6</v>
      </c>
      <c r="G29" s="17">
        <v>-2.2000000000000002</v>
      </c>
      <c r="H29" s="17">
        <v>-2.6</v>
      </c>
      <c r="I29" s="17">
        <v>-2.8</v>
      </c>
      <c r="J29" s="17">
        <v>-2.9</v>
      </c>
      <c r="K29" s="17">
        <v>-3.1</v>
      </c>
      <c r="L29" s="17">
        <v>-3.3</v>
      </c>
      <c r="M29" s="17">
        <v>-5</v>
      </c>
      <c r="N29" s="17">
        <v>-19.7</v>
      </c>
    </row>
    <row r="30" spans="1:14" x14ac:dyDescent="0.15">
      <c r="B30" s="12" t="s">
        <v>32</v>
      </c>
      <c r="C30" s="22">
        <v>0</v>
      </c>
      <c r="D30" s="17">
        <v>-0.2</v>
      </c>
      <c r="E30" s="17">
        <v>-0.8</v>
      </c>
      <c r="F30" s="17">
        <v>-1.4</v>
      </c>
      <c r="G30" s="17">
        <v>-2</v>
      </c>
      <c r="H30" s="17">
        <v>-2.5</v>
      </c>
      <c r="I30" s="17">
        <v>-2.6</v>
      </c>
      <c r="J30" s="17">
        <v>-2.8</v>
      </c>
      <c r="K30" s="17">
        <v>-3</v>
      </c>
      <c r="L30" s="17">
        <v>-3.2</v>
      </c>
      <c r="M30" s="17">
        <v>-4.4000000000000004</v>
      </c>
      <c r="N30" s="17">
        <v>-18.5</v>
      </c>
    </row>
    <row r="31" spans="1:14" x14ac:dyDescent="0.15">
      <c r="A31" s="51" t="s">
        <v>29</v>
      </c>
      <c r="B31" s="51"/>
      <c r="C31" s="22">
        <v>0</v>
      </c>
      <c r="D31" s="17">
        <v>0.1</v>
      </c>
      <c r="E31" s="17">
        <v>0.3</v>
      </c>
      <c r="F31" s="17">
        <v>0.5</v>
      </c>
      <c r="G31" s="17">
        <v>0.8</v>
      </c>
      <c r="H31" s="17">
        <v>0.9</v>
      </c>
      <c r="I31" s="17">
        <v>1</v>
      </c>
      <c r="J31" s="17">
        <v>1</v>
      </c>
      <c r="K31" s="17">
        <v>1</v>
      </c>
      <c r="L31" s="17">
        <v>1</v>
      </c>
      <c r="M31" s="17">
        <v>1.7</v>
      </c>
      <c r="N31" s="17">
        <v>6.6</v>
      </c>
    </row>
    <row r="34" spans="1:14" x14ac:dyDescent="0.15">
      <c r="A34" s="51" t="s">
        <v>6</v>
      </c>
      <c r="B34" s="51"/>
    </row>
    <row r="35" spans="1:14" ht="14.25" customHeight="1" x14ac:dyDescent="0.15">
      <c r="A35" s="64" t="s">
        <v>191</v>
      </c>
      <c r="B35" s="64"/>
      <c r="C35" s="64"/>
      <c r="D35" s="64"/>
      <c r="E35" s="64"/>
      <c r="F35" s="64"/>
      <c r="G35" s="64"/>
      <c r="H35" s="64"/>
      <c r="I35" s="64"/>
      <c r="J35" s="64"/>
      <c r="K35" s="64"/>
      <c r="L35" s="64"/>
      <c r="M35" s="64"/>
      <c r="N35" s="64"/>
    </row>
    <row r="36" spans="1:14" x14ac:dyDescent="0.15">
      <c r="A36" s="64"/>
      <c r="B36" s="64"/>
      <c r="C36" s="64"/>
      <c r="D36" s="64"/>
      <c r="E36" s="64"/>
      <c r="F36" s="64"/>
      <c r="G36" s="64"/>
      <c r="H36" s="64"/>
      <c r="I36" s="64"/>
      <c r="J36" s="64"/>
      <c r="K36" s="64"/>
      <c r="L36" s="64"/>
      <c r="M36" s="64"/>
      <c r="N36" s="64"/>
    </row>
    <row r="37" spans="1:14" x14ac:dyDescent="0.15">
      <c r="A37" s="64"/>
      <c r="B37" s="64"/>
      <c r="C37" s="64"/>
      <c r="D37" s="64"/>
      <c r="E37" s="64"/>
      <c r="F37" s="64"/>
      <c r="G37" s="64"/>
      <c r="H37" s="64"/>
      <c r="I37" s="64"/>
      <c r="J37" s="64"/>
      <c r="K37" s="64"/>
      <c r="L37" s="64"/>
      <c r="M37" s="64"/>
      <c r="N37" s="64"/>
    </row>
    <row r="38" spans="1:14" ht="14.25" customHeight="1" x14ac:dyDescent="0.15">
      <c r="A38" s="64" t="s">
        <v>192</v>
      </c>
      <c r="B38" s="64"/>
      <c r="C38" s="64"/>
      <c r="D38" s="64"/>
      <c r="E38" s="64"/>
      <c r="F38" s="64"/>
      <c r="G38" s="64"/>
      <c r="H38" s="64"/>
      <c r="I38" s="64"/>
      <c r="J38" s="64"/>
      <c r="K38" s="64"/>
      <c r="L38" s="64"/>
      <c r="M38" s="64"/>
      <c r="N38" s="64"/>
    </row>
    <row r="39" spans="1:14" x14ac:dyDescent="0.15">
      <c r="A39" s="64"/>
      <c r="B39" s="64"/>
      <c r="C39" s="64"/>
      <c r="D39" s="64"/>
      <c r="E39" s="64"/>
      <c r="F39" s="64"/>
      <c r="G39" s="64"/>
      <c r="H39" s="64"/>
      <c r="I39" s="64"/>
      <c r="J39" s="64"/>
      <c r="K39" s="64"/>
      <c r="L39" s="64"/>
      <c r="M39" s="64"/>
      <c r="N39" s="64"/>
    </row>
    <row r="40" spans="1:14" x14ac:dyDescent="0.15">
      <c r="A40" s="64"/>
      <c r="B40" s="64"/>
      <c r="C40" s="64"/>
      <c r="D40" s="64"/>
      <c r="E40" s="64"/>
      <c r="F40" s="64"/>
      <c r="G40" s="64"/>
      <c r="H40" s="64"/>
      <c r="I40" s="64"/>
      <c r="J40" s="64"/>
      <c r="K40" s="64"/>
      <c r="L40" s="64"/>
      <c r="M40" s="64"/>
      <c r="N40" s="64"/>
    </row>
    <row r="41" spans="1:14" x14ac:dyDescent="0.15">
      <c r="A41" s="61" t="str">
        <f ca="1">HYPERLINK("#"&amp;CELL("address", Contents!A57), "Back to Table of Contents")</f>
        <v>Back to Table of Contents</v>
      </c>
      <c r="B41" s="61"/>
    </row>
    <row r="43" spans="1:14" x14ac:dyDescent="0.15">
      <c r="A43" s="65" t="s">
        <v>129</v>
      </c>
      <c r="B43" s="65"/>
    </row>
    <row r="44" spans="1:14" x14ac:dyDescent="0.15">
      <c r="A44" s="65" t="s">
        <v>193</v>
      </c>
      <c r="B44" s="65"/>
      <c r="N44" s="18" t="s">
        <v>345</v>
      </c>
    </row>
    <row r="46" spans="1:14" x14ac:dyDescent="0.15">
      <c r="A46" s="51" t="s">
        <v>2</v>
      </c>
      <c r="B46" s="51"/>
      <c r="C46" s="13">
        <v>2023</v>
      </c>
      <c r="D46" s="13">
        <v>2024</v>
      </c>
      <c r="E46" s="13">
        <v>2025</v>
      </c>
      <c r="F46" s="13">
        <v>2026</v>
      </c>
      <c r="G46" s="13">
        <v>2027</v>
      </c>
      <c r="H46" s="13">
        <v>2028</v>
      </c>
      <c r="I46" s="13">
        <v>2029</v>
      </c>
      <c r="J46" s="13">
        <v>2030</v>
      </c>
      <c r="K46" s="13">
        <v>2031</v>
      </c>
      <c r="L46" s="13">
        <v>2032</v>
      </c>
      <c r="M46" s="13" t="s">
        <v>3</v>
      </c>
      <c r="N46" s="13" t="s">
        <v>4</v>
      </c>
    </row>
    <row r="48" spans="1:14" x14ac:dyDescent="0.15">
      <c r="A48" s="51" t="s">
        <v>194</v>
      </c>
      <c r="B48" s="51"/>
    </row>
    <row r="49" spans="1:14" x14ac:dyDescent="0.15">
      <c r="B49" s="12" t="s">
        <v>31</v>
      </c>
      <c r="C49" s="22">
        <v>0</v>
      </c>
      <c r="D49" s="22">
        <v>0</v>
      </c>
      <c r="E49" s="22">
        <v>0</v>
      </c>
      <c r="F49" s="17">
        <v>-1.2</v>
      </c>
      <c r="G49" s="17">
        <v>-1.8</v>
      </c>
      <c r="H49" s="17">
        <v>-1.5</v>
      </c>
      <c r="I49" s="17">
        <v>-2.2000000000000002</v>
      </c>
      <c r="J49" s="17">
        <v>-2.2000000000000002</v>
      </c>
      <c r="K49" s="17">
        <v>-4.0999999999999996</v>
      </c>
      <c r="L49" s="17">
        <v>-5</v>
      </c>
      <c r="M49" s="17">
        <v>-3</v>
      </c>
      <c r="N49" s="17">
        <v>-18</v>
      </c>
    </row>
    <row r="50" spans="1:14" x14ac:dyDescent="0.15">
      <c r="B50" s="12" t="s">
        <v>32</v>
      </c>
      <c r="C50" s="22">
        <v>0</v>
      </c>
      <c r="D50" s="22">
        <v>0</v>
      </c>
      <c r="E50" s="22">
        <v>0</v>
      </c>
      <c r="F50" s="17" t="s">
        <v>33</v>
      </c>
      <c r="G50" s="17">
        <v>-0.3</v>
      </c>
      <c r="H50" s="17">
        <v>-0.7</v>
      </c>
      <c r="I50" s="17">
        <v>-1</v>
      </c>
      <c r="J50" s="17">
        <v>-1.3</v>
      </c>
      <c r="K50" s="17">
        <v>-1.7</v>
      </c>
      <c r="L50" s="17">
        <v>-2.2999999999999998</v>
      </c>
      <c r="M50" s="17">
        <v>-0.4</v>
      </c>
      <c r="N50" s="17">
        <v>-7.3</v>
      </c>
    </row>
    <row r="53" spans="1:14" x14ac:dyDescent="0.15">
      <c r="A53" s="51" t="s">
        <v>6</v>
      </c>
      <c r="B53" s="51"/>
    </row>
    <row r="54" spans="1:14" x14ac:dyDescent="0.15">
      <c r="A54" s="51" t="s">
        <v>195</v>
      </c>
      <c r="B54" s="51"/>
      <c r="C54" s="51"/>
      <c r="D54" s="51"/>
      <c r="E54" s="51"/>
      <c r="F54" s="51"/>
      <c r="G54" s="51"/>
      <c r="H54" s="51"/>
      <c r="I54" s="51"/>
      <c r="J54" s="51"/>
    </row>
    <row r="55" spans="1:14" x14ac:dyDescent="0.15">
      <c r="A55" s="51" t="s">
        <v>36</v>
      </c>
      <c r="B55" s="51"/>
    </row>
    <row r="56" spans="1:14" x14ac:dyDescent="0.15">
      <c r="A56" s="61" t="str">
        <f ca="1">HYPERLINK("#"&amp;CELL("address", Contents!A58), "Back to Table of Contents")</f>
        <v>Back to Table of Contents</v>
      </c>
      <c r="B56" s="61"/>
    </row>
    <row r="58" spans="1:14" x14ac:dyDescent="0.15">
      <c r="A58" s="65" t="s">
        <v>130</v>
      </c>
      <c r="B58" s="65"/>
    </row>
    <row r="59" spans="1:14" x14ac:dyDescent="0.15">
      <c r="A59" s="65" t="s">
        <v>196</v>
      </c>
      <c r="B59" s="65"/>
      <c r="N59" s="18" t="s">
        <v>345</v>
      </c>
    </row>
    <row r="61" spans="1:14" x14ac:dyDescent="0.15">
      <c r="A61" s="51" t="s">
        <v>2</v>
      </c>
      <c r="B61" s="51"/>
      <c r="C61" s="13">
        <v>2023</v>
      </c>
      <c r="D61" s="13">
        <v>2024</v>
      </c>
      <c r="E61" s="13">
        <v>2025</v>
      </c>
      <c r="F61" s="13">
        <v>2026</v>
      </c>
      <c r="G61" s="13">
        <v>2027</v>
      </c>
      <c r="H61" s="13">
        <v>2028</v>
      </c>
      <c r="I61" s="13">
        <v>2029</v>
      </c>
      <c r="J61" s="13">
        <v>2030</v>
      </c>
      <c r="K61" s="13">
        <v>2031</v>
      </c>
      <c r="L61" s="13">
        <v>2032</v>
      </c>
      <c r="M61" s="13" t="s">
        <v>3</v>
      </c>
      <c r="N61" s="13" t="s">
        <v>4</v>
      </c>
    </row>
    <row r="63" spans="1:14" x14ac:dyDescent="0.15">
      <c r="C63" s="66" t="s">
        <v>197</v>
      </c>
      <c r="D63" s="66"/>
      <c r="E63" s="66"/>
      <c r="F63" s="66"/>
      <c r="G63" s="66"/>
      <c r="H63" s="66"/>
      <c r="I63" s="66"/>
      <c r="J63" s="66"/>
      <c r="K63" s="66"/>
      <c r="L63" s="66"/>
      <c r="M63" s="66"/>
      <c r="N63" s="66"/>
    </row>
    <row r="64" spans="1:14" x14ac:dyDescent="0.15">
      <c r="A64" s="51" t="s">
        <v>194</v>
      </c>
      <c r="B64" s="51"/>
    </row>
    <row r="65" spans="1:14" x14ac:dyDescent="0.15">
      <c r="B65" s="12" t="s">
        <v>31</v>
      </c>
      <c r="C65" s="22">
        <v>0</v>
      </c>
      <c r="D65" s="17">
        <v>-3.2</v>
      </c>
      <c r="E65" s="17">
        <v>-1</v>
      </c>
      <c r="F65" s="17">
        <v>-5.5</v>
      </c>
      <c r="G65" s="17">
        <v>-1.1000000000000001</v>
      </c>
      <c r="H65" s="17">
        <v>-0.6</v>
      </c>
      <c r="I65" s="17">
        <v>-0.2</v>
      </c>
      <c r="J65" s="17">
        <v>-1.3</v>
      </c>
      <c r="K65" s="17">
        <v>-0.5</v>
      </c>
      <c r="L65" s="17">
        <v>-1.4</v>
      </c>
      <c r="M65" s="17">
        <v>-10.8</v>
      </c>
      <c r="N65" s="17">
        <v>-14.8</v>
      </c>
    </row>
    <row r="66" spans="1:14" x14ac:dyDescent="0.15">
      <c r="B66" s="12" t="s">
        <v>32</v>
      </c>
      <c r="C66" s="22">
        <v>0</v>
      </c>
      <c r="D66" s="17">
        <v>-0.2</v>
      </c>
      <c r="E66" s="17">
        <v>-0.9</v>
      </c>
      <c r="F66" s="17">
        <v>-1.4</v>
      </c>
      <c r="G66" s="17">
        <v>-2.2000000000000002</v>
      </c>
      <c r="H66" s="17">
        <v>-2.1</v>
      </c>
      <c r="I66" s="17">
        <v>-1.8</v>
      </c>
      <c r="J66" s="17">
        <v>-1.3</v>
      </c>
      <c r="K66" s="17">
        <v>-1.1000000000000001</v>
      </c>
      <c r="L66" s="17">
        <v>-1</v>
      </c>
      <c r="M66" s="17">
        <v>-4.7</v>
      </c>
      <c r="N66" s="17">
        <v>-12</v>
      </c>
    </row>
    <row r="67" spans="1:14" x14ac:dyDescent="0.15">
      <c r="C67" s="66" t="s">
        <v>198</v>
      </c>
      <c r="D67" s="66"/>
      <c r="E67" s="66"/>
      <c r="F67" s="66"/>
      <c r="G67" s="66"/>
      <c r="H67" s="66"/>
      <c r="I67" s="66"/>
      <c r="J67" s="66"/>
      <c r="K67" s="66"/>
      <c r="L67" s="66"/>
      <c r="M67" s="66"/>
      <c r="N67" s="66"/>
    </row>
    <row r="68" spans="1:14" x14ac:dyDescent="0.15">
      <c r="A68" s="51" t="s">
        <v>194</v>
      </c>
      <c r="B68" s="51"/>
    </row>
    <row r="69" spans="1:14" x14ac:dyDescent="0.15">
      <c r="B69" s="12" t="s">
        <v>31</v>
      </c>
      <c r="C69" s="22">
        <v>0</v>
      </c>
      <c r="D69" s="17">
        <v>-3.4</v>
      </c>
      <c r="E69" s="17">
        <v>-1.3</v>
      </c>
      <c r="F69" s="17">
        <v>-5.8</v>
      </c>
      <c r="G69" s="17">
        <v>-1.5</v>
      </c>
      <c r="H69" s="17">
        <v>-0.9</v>
      </c>
      <c r="I69" s="17">
        <v>-0.8</v>
      </c>
      <c r="J69" s="17">
        <v>-3.3</v>
      </c>
      <c r="K69" s="17">
        <v>-5</v>
      </c>
      <c r="L69" s="17">
        <v>-7.9</v>
      </c>
      <c r="M69" s="17">
        <v>-12</v>
      </c>
      <c r="N69" s="17">
        <v>-29.9</v>
      </c>
    </row>
    <row r="70" spans="1:14" x14ac:dyDescent="0.15">
      <c r="B70" s="12" t="s">
        <v>32</v>
      </c>
      <c r="C70" s="22">
        <v>0</v>
      </c>
      <c r="D70" s="17">
        <v>-0.2</v>
      </c>
      <c r="E70" s="17">
        <v>-1</v>
      </c>
      <c r="F70" s="17">
        <v>-1.5</v>
      </c>
      <c r="G70" s="17">
        <v>-2.5</v>
      </c>
      <c r="H70" s="17">
        <v>-2.5</v>
      </c>
      <c r="I70" s="17">
        <v>-2.2999999999999998</v>
      </c>
      <c r="J70" s="17">
        <v>-2</v>
      </c>
      <c r="K70" s="17">
        <v>-2.2000000000000002</v>
      </c>
      <c r="L70" s="17">
        <v>-3.3</v>
      </c>
      <c r="M70" s="17">
        <v>-5.2</v>
      </c>
      <c r="N70" s="17">
        <v>-17.5</v>
      </c>
    </row>
    <row r="73" spans="1:14" x14ac:dyDescent="0.15">
      <c r="A73" s="51" t="s">
        <v>6</v>
      </c>
      <c r="B73" s="51"/>
    </row>
    <row r="74" spans="1:14" x14ac:dyDescent="0.15">
      <c r="A74" s="64" t="s">
        <v>199</v>
      </c>
      <c r="B74" s="64"/>
      <c r="C74" s="64"/>
      <c r="D74" s="64"/>
      <c r="E74" s="64"/>
      <c r="F74" s="64"/>
      <c r="G74" s="64"/>
      <c r="H74" s="64"/>
      <c r="I74" s="64"/>
      <c r="J74" s="64"/>
      <c r="K74" s="64"/>
      <c r="L74" s="64"/>
      <c r="M74" s="64"/>
      <c r="N74" s="64"/>
    </row>
    <row r="75" spans="1:14" x14ac:dyDescent="0.15">
      <c r="A75" s="64"/>
      <c r="B75" s="64"/>
      <c r="C75" s="64"/>
      <c r="D75" s="64"/>
      <c r="E75" s="64"/>
      <c r="F75" s="64"/>
      <c r="G75" s="64"/>
      <c r="H75" s="64"/>
      <c r="I75" s="64"/>
      <c r="J75" s="64"/>
      <c r="K75" s="64"/>
      <c r="L75" s="64"/>
      <c r="M75" s="64"/>
      <c r="N75" s="64"/>
    </row>
    <row r="76" spans="1:14" x14ac:dyDescent="0.15">
      <c r="A76" s="51" t="s">
        <v>200</v>
      </c>
      <c r="B76" s="51"/>
    </row>
    <row r="77" spans="1:14" x14ac:dyDescent="0.15">
      <c r="A77" s="61" t="str">
        <f ca="1">HYPERLINK("#"&amp;CELL("address", Contents!A59), "Back to Table of Contents")</f>
        <v>Back to Table of Contents</v>
      </c>
      <c r="B77" s="61"/>
    </row>
    <row r="79" spans="1:14" x14ac:dyDescent="0.15">
      <c r="A79" s="65" t="s">
        <v>131</v>
      </c>
      <c r="B79" s="65"/>
    </row>
    <row r="80" spans="1:14" x14ac:dyDescent="0.15">
      <c r="A80" s="65" t="s">
        <v>201</v>
      </c>
      <c r="B80" s="65"/>
      <c r="N80" s="18" t="s">
        <v>345</v>
      </c>
    </row>
    <row r="82" spans="1:14" x14ac:dyDescent="0.15">
      <c r="A82" s="51" t="s">
        <v>2</v>
      </c>
      <c r="B82" s="51"/>
      <c r="C82" s="13">
        <v>2023</v>
      </c>
      <c r="D82" s="13">
        <v>2024</v>
      </c>
      <c r="E82" s="13">
        <v>2025</v>
      </c>
      <c r="F82" s="13">
        <v>2026</v>
      </c>
      <c r="G82" s="13">
        <v>2027</v>
      </c>
      <c r="H82" s="13">
        <v>2028</v>
      </c>
      <c r="I82" s="13">
        <v>2029</v>
      </c>
      <c r="J82" s="13">
        <v>2030</v>
      </c>
      <c r="K82" s="13">
        <v>2031</v>
      </c>
      <c r="L82" s="13">
        <v>2032</v>
      </c>
      <c r="M82" s="13" t="s">
        <v>3</v>
      </c>
      <c r="N82" s="13" t="s">
        <v>4</v>
      </c>
    </row>
    <row r="84" spans="1:14" x14ac:dyDescent="0.15">
      <c r="A84" s="51" t="s">
        <v>194</v>
      </c>
      <c r="B84" s="51"/>
    </row>
    <row r="85" spans="1:14" x14ac:dyDescent="0.15">
      <c r="B85" s="12" t="s">
        <v>31</v>
      </c>
      <c r="C85" s="22">
        <v>0</v>
      </c>
      <c r="D85" s="17">
        <v>-2</v>
      </c>
      <c r="E85" s="17">
        <v>-1.9</v>
      </c>
      <c r="F85" s="17">
        <v>-1.9</v>
      </c>
      <c r="G85" s="17">
        <v>-2.2000000000000002</v>
      </c>
      <c r="H85" s="17">
        <v>-2.5</v>
      </c>
      <c r="I85" s="17">
        <v>-2.9</v>
      </c>
      <c r="J85" s="17">
        <v>-2.8</v>
      </c>
      <c r="K85" s="17">
        <v>-2.5</v>
      </c>
      <c r="L85" s="17">
        <v>-0.3</v>
      </c>
      <c r="M85" s="17">
        <v>-8</v>
      </c>
      <c r="N85" s="17">
        <v>-19</v>
      </c>
    </row>
    <row r="86" spans="1:14" x14ac:dyDescent="0.15">
      <c r="B86" s="12" t="s">
        <v>32</v>
      </c>
      <c r="C86" s="22">
        <v>0</v>
      </c>
      <c r="D86" s="17">
        <v>-1.1000000000000001</v>
      </c>
      <c r="E86" s="17">
        <v>-1.7</v>
      </c>
      <c r="F86" s="17">
        <v>-1.7</v>
      </c>
      <c r="G86" s="17">
        <v>-1.6</v>
      </c>
      <c r="H86" s="17">
        <v>-1.7</v>
      </c>
      <c r="I86" s="17">
        <v>-1.9</v>
      </c>
      <c r="J86" s="17">
        <v>-2.2000000000000002</v>
      </c>
      <c r="K86" s="17">
        <v>-2.4</v>
      </c>
      <c r="L86" s="17">
        <v>-2</v>
      </c>
      <c r="M86" s="17">
        <v>-6.1</v>
      </c>
      <c r="N86" s="17">
        <v>-16.3</v>
      </c>
    </row>
    <row r="89" spans="1:14" x14ac:dyDescent="0.15">
      <c r="A89" s="51" t="s">
        <v>6</v>
      </c>
      <c r="B89" s="51"/>
    </row>
    <row r="90" spans="1:14" x14ac:dyDescent="0.15">
      <c r="A90" s="64" t="s">
        <v>199</v>
      </c>
      <c r="B90" s="64"/>
      <c r="C90" s="64"/>
      <c r="D90" s="64"/>
      <c r="E90" s="64"/>
      <c r="F90" s="64"/>
      <c r="G90" s="64"/>
      <c r="H90" s="64"/>
      <c r="I90" s="64"/>
      <c r="J90" s="64"/>
      <c r="K90" s="64"/>
      <c r="L90" s="64"/>
      <c r="M90" s="64"/>
      <c r="N90" s="64"/>
    </row>
    <row r="91" spans="1:14" x14ac:dyDescent="0.15">
      <c r="A91" s="64"/>
      <c r="B91" s="64"/>
      <c r="C91" s="64"/>
      <c r="D91" s="64"/>
      <c r="E91" s="64"/>
      <c r="F91" s="64"/>
      <c r="G91" s="64"/>
      <c r="H91" s="64"/>
      <c r="I91" s="64"/>
      <c r="J91" s="64"/>
      <c r="K91" s="64"/>
      <c r="L91" s="64"/>
      <c r="M91" s="64"/>
      <c r="N91" s="64"/>
    </row>
    <row r="92" spans="1:14" x14ac:dyDescent="0.15">
      <c r="A92" s="61" t="str">
        <f ca="1">HYPERLINK("#"&amp;CELL("address", Contents!A60), "Back to Table of Contents")</f>
        <v>Back to Table of Contents</v>
      </c>
      <c r="B92" s="61"/>
    </row>
    <row r="94" spans="1:14" x14ac:dyDescent="0.15">
      <c r="A94" s="65" t="s">
        <v>132</v>
      </c>
      <c r="B94" s="65"/>
    </row>
    <row r="95" spans="1:14" x14ac:dyDescent="0.15">
      <c r="A95" s="65" t="s">
        <v>202</v>
      </c>
      <c r="B95" s="65"/>
      <c r="N95" s="18" t="s">
        <v>345</v>
      </c>
    </row>
    <row r="97" spans="1:14" x14ac:dyDescent="0.15">
      <c r="A97" s="51" t="s">
        <v>2</v>
      </c>
      <c r="B97" s="51"/>
      <c r="C97" s="13">
        <v>2023</v>
      </c>
      <c r="D97" s="13">
        <v>2024</v>
      </c>
      <c r="E97" s="13">
        <v>2025</v>
      </c>
      <c r="F97" s="13">
        <v>2026</v>
      </c>
      <c r="G97" s="13">
        <v>2027</v>
      </c>
      <c r="H97" s="13">
        <v>2028</v>
      </c>
      <c r="I97" s="13">
        <v>2029</v>
      </c>
      <c r="J97" s="13">
        <v>2030</v>
      </c>
      <c r="K97" s="13">
        <v>2031</v>
      </c>
      <c r="L97" s="13">
        <v>2032</v>
      </c>
      <c r="M97" s="13" t="s">
        <v>3</v>
      </c>
      <c r="N97" s="13" t="s">
        <v>4</v>
      </c>
    </row>
    <row r="99" spans="1:14" x14ac:dyDescent="0.15">
      <c r="A99" s="51" t="s">
        <v>194</v>
      </c>
      <c r="B99" s="51"/>
    </row>
    <row r="100" spans="1:14" x14ac:dyDescent="0.15">
      <c r="B100" s="12" t="s">
        <v>31</v>
      </c>
      <c r="C100" s="13">
        <v>0</v>
      </c>
      <c r="D100" s="17">
        <v>-1</v>
      </c>
      <c r="E100" s="17">
        <v>-1.5</v>
      </c>
      <c r="F100" s="17">
        <v>-1.4</v>
      </c>
      <c r="G100" s="17">
        <v>-2.5</v>
      </c>
      <c r="H100" s="17">
        <v>-2.5</v>
      </c>
      <c r="I100" s="17">
        <v>-2.8</v>
      </c>
      <c r="J100" s="17">
        <v>-2.7</v>
      </c>
      <c r="K100" s="17">
        <v>-2.6</v>
      </c>
      <c r="L100" s="17">
        <v>-3.6</v>
      </c>
      <c r="M100" s="17">
        <v>-6.4</v>
      </c>
      <c r="N100" s="17">
        <v>-20.8</v>
      </c>
    </row>
    <row r="101" spans="1:14" x14ac:dyDescent="0.15">
      <c r="B101" s="12" t="s">
        <v>32</v>
      </c>
      <c r="C101" s="13">
        <v>0</v>
      </c>
      <c r="D101" s="17">
        <v>-0.4</v>
      </c>
      <c r="E101" s="17">
        <v>-1</v>
      </c>
      <c r="F101" s="17">
        <v>-1.2</v>
      </c>
      <c r="G101" s="17">
        <v>-1.5</v>
      </c>
      <c r="H101" s="17">
        <v>-1.8</v>
      </c>
      <c r="I101" s="17">
        <v>-2</v>
      </c>
      <c r="J101" s="17">
        <v>-2.2000000000000002</v>
      </c>
      <c r="K101" s="17">
        <v>-2.2999999999999998</v>
      </c>
      <c r="L101" s="17">
        <v>-2.5</v>
      </c>
      <c r="M101" s="17">
        <v>-4.0999999999999996</v>
      </c>
      <c r="N101" s="17">
        <v>-15</v>
      </c>
    </row>
    <row r="104" spans="1:14" x14ac:dyDescent="0.15">
      <c r="A104" s="51" t="s">
        <v>6</v>
      </c>
      <c r="B104" s="51"/>
    </row>
    <row r="105" spans="1:14" x14ac:dyDescent="0.15">
      <c r="A105" s="51" t="s">
        <v>195</v>
      </c>
      <c r="B105" s="51"/>
      <c r="C105" s="51"/>
      <c r="D105" s="51"/>
      <c r="E105" s="51"/>
      <c r="F105" s="51"/>
      <c r="G105" s="51"/>
      <c r="H105" s="51"/>
      <c r="I105" s="51"/>
      <c r="J105" s="51"/>
    </row>
    <row r="106" spans="1:14" x14ac:dyDescent="0.15">
      <c r="A106" s="61" t="str">
        <f ca="1">HYPERLINK("#"&amp;CELL("address", Contents!A61), "Back to Table of Contents")</f>
        <v>Back to Table of Contents</v>
      </c>
      <c r="B106" s="61"/>
    </row>
    <row r="108" spans="1:14" x14ac:dyDescent="0.15">
      <c r="A108" s="65" t="s">
        <v>133</v>
      </c>
      <c r="B108" s="65"/>
    </row>
    <row r="109" spans="1:14" x14ac:dyDescent="0.15">
      <c r="A109" s="65" t="s">
        <v>203</v>
      </c>
      <c r="B109" s="65"/>
      <c r="N109" s="18" t="s">
        <v>345</v>
      </c>
    </row>
    <row r="111" spans="1:14" x14ac:dyDescent="0.15">
      <c r="A111" s="51" t="s">
        <v>2</v>
      </c>
      <c r="B111" s="51"/>
      <c r="C111" s="13">
        <v>2023</v>
      </c>
      <c r="D111" s="13">
        <v>2024</v>
      </c>
      <c r="E111" s="13">
        <v>2025</v>
      </c>
      <c r="F111" s="13">
        <v>2026</v>
      </c>
      <c r="G111" s="13">
        <v>2027</v>
      </c>
      <c r="H111" s="13">
        <v>2028</v>
      </c>
      <c r="I111" s="13">
        <v>2029</v>
      </c>
      <c r="J111" s="13">
        <v>2030</v>
      </c>
      <c r="K111" s="13">
        <v>2031</v>
      </c>
      <c r="L111" s="13">
        <v>2032</v>
      </c>
      <c r="M111" s="13" t="s">
        <v>3</v>
      </c>
      <c r="N111" s="13" t="s">
        <v>4</v>
      </c>
    </row>
    <row r="113" spans="1:14" x14ac:dyDescent="0.15">
      <c r="A113" s="51" t="s">
        <v>194</v>
      </c>
      <c r="B113" s="51"/>
    </row>
    <row r="114" spans="1:14" x14ac:dyDescent="0.15">
      <c r="B114" s="12" t="s">
        <v>31</v>
      </c>
      <c r="C114" s="13">
        <v>0</v>
      </c>
      <c r="D114" s="17">
        <v>-5.4</v>
      </c>
      <c r="E114" s="17">
        <v>-5.8</v>
      </c>
      <c r="F114" s="17">
        <v>-5.5</v>
      </c>
      <c r="G114" s="17">
        <v>-5.7</v>
      </c>
      <c r="H114" s="17">
        <v>-5.0999999999999996</v>
      </c>
      <c r="I114" s="17">
        <v>-4.5</v>
      </c>
      <c r="J114" s="17">
        <v>-4.2</v>
      </c>
      <c r="K114" s="17">
        <v>-4.3</v>
      </c>
      <c r="L114" s="17">
        <v>-4.5999999999999996</v>
      </c>
      <c r="M114" s="17">
        <v>-22.3</v>
      </c>
      <c r="N114" s="17">
        <v>-45</v>
      </c>
    </row>
    <row r="115" spans="1:14" x14ac:dyDescent="0.15">
      <c r="B115" s="12" t="s">
        <v>32</v>
      </c>
      <c r="C115" s="13">
        <v>0</v>
      </c>
      <c r="D115" s="17">
        <v>-1.4</v>
      </c>
      <c r="E115" s="17">
        <v>-3</v>
      </c>
      <c r="F115" s="17">
        <v>-4</v>
      </c>
      <c r="G115" s="17">
        <v>-4.5999999999999996</v>
      </c>
      <c r="H115" s="17">
        <v>-4.7</v>
      </c>
      <c r="I115" s="17">
        <v>-4.4000000000000004</v>
      </c>
      <c r="J115" s="17">
        <v>-4.2</v>
      </c>
      <c r="K115" s="17">
        <v>-4.0999999999999996</v>
      </c>
      <c r="L115" s="17">
        <v>-4</v>
      </c>
      <c r="M115" s="17">
        <v>-13</v>
      </c>
      <c r="N115" s="17">
        <v>-34.4</v>
      </c>
    </row>
    <row r="118" spans="1:14" x14ac:dyDescent="0.15">
      <c r="A118" s="51" t="s">
        <v>6</v>
      </c>
      <c r="B118" s="51"/>
    </row>
    <row r="119" spans="1:14" x14ac:dyDescent="0.15">
      <c r="A119" s="51" t="s">
        <v>195</v>
      </c>
      <c r="B119" s="51"/>
      <c r="C119" s="51"/>
      <c r="D119" s="51"/>
      <c r="E119" s="51"/>
      <c r="F119" s="51"/>
      <c r="G119" s="51"/>
      <c r="H119" s="51"/>
      <c r="I119" s="51"/>
      <c r="J119" s="51"/>
    </row>
    <row r="120" spans="1:14" x14ac:dyDescent="0.15">
      <c r="A120" s="61" t="str">
        <f ca="1">HYPERLINK("#"&amp;CELL("address", Contents!A62), "Back to Table of Contents")</f>
        <v>Back to Table of Contents</v>
      </c>
      <c r="B120" s="61"/>
    </row>
    <row r="122" spans="1:14" x14ac:dyDescent="0.15">
      <c r="A122" s="14" t="s">
        <v>134</v>
      </c>
    </row>
    <row r="123" spans="1:14" x14ac:dyDescent="0.15">
      <c r="A123" s="14" t="s">
        <v>204</v>
      </c>
      <c r="N123" s="18" t="s">
        <v>345</v>
      </c>
    </row>
    <row r="125" spans="1:14" x14ac:dyDescent="0.15">
      <c r="A125" s="12" t="s">
        <v>2</v>
      </c>
      <c r="C125" s="13">
        <v>2023</v>
      </c>
      <c r="D125" s="13">
        <v>2024</v>
      </c>
      <c r="E125" s="13">
        <v>2025</v>
      </c>
      <c r="F125" s="13">
        <v>2026</v>
      </c>
      <c r="G125" s="13">
        <v>2027</v>
      </c>
      <c r="H125" s="13">
        <v>2028</v>
      </c>
      <c r="I125" s="13">
        <v>2029</v>
      </c>
      <c r="J125" s="13">
        <v>2030</v>
      </c>
      <c r="K125" s="13">
        <v>2031</v>
      </c>
      <c r="L125" s="13">
        <v>2032</v>
      </c>
      <c r="M125" s="13" t="s">
        <v>3</v>
      </c>
      <c r="N125" s="13" t="s">
        <v>4</v>
      </c>
    </row>
    <row r="127" spans="1:14" x14ac:dyDescent="0.15">
      <c r="A127" s="12" t="s">
        <v>194</v>
      </c>
    </row>
    <row r="128" spans="1:14" x14ac:dyDescent="0.15">
      <c r="B128" s="12" t="s">
        <v>31</v>
      </c>
      <c r="C128" s="13">
        <v>0</v>
      </c>
      <c r="D128" s="17">
        <v>-1.4</v>
      </c>
      <c r="E128" s="17">
        <v>-1.4</v>
      </c>
      <c r="F128" s="17">
        <v>-1.2</v>
      </c>
      <c r="G128" s="17">
        <v>-1.3</v>
      </c>
      <c r="H128" s="17">
        <v>-1</v>
      </c>
      <c r="I128" s="17">
        <v>-0.8</v>
      </c>
      <c r="J128" s="17">
        <v>-0.5</v>
      </c>
      <c r="K128" s="17">
        <v>-0.2</v>
      </c>
      <c r="L128" s="13">
        <v>0</v>
      </c>
      <c r="M128" s="13">
        <v>-5.3</v>
      </c>
      <c r="N128" s="13">
        <v>-7.9</v>
      </c>
    </row>
    <row r="129" spans="1:14" x14ac:dyDescent="0.15">
      <c r="B129" s="12" t="s">
        <v>32</v>
      </c>
      <c r="C129" s="13">
        <v>0</v>
      </c>
      <c r="D129" s="17">
        <v>-1</v>
      </c>
      <c r="E129" s="17">
        <v>-1.3</v>
      </c>
      <c r="F129" s="17">
        <v>-1.2</v>
      </c>
      <c r="G129" s="17">
        <v>-1.3</v>
      </c>
      <c r="H129" s="17">
        <v>-1.1000000000000001</v>
      </c>
      <c r="I129" s="17">
        <v>-0.8</v>
      </c>
      <c r="J129" s="17">
        <v>-0.6</v>
      </c>
      <c r="K129" s="17">
        <v>-0.3</v>
      </c>
      <c r="L129" s="13">
        <v>-0.1</v>
      </c>
      <c r="M129" s="13">
        <v>-4.7</v>
      </c>
      <c r="N129" s="13">
        <v>-7.7</v>
      </c>
    </row>
    <row r="132" spans="1:14" x14ac:dyDescent="0.15">
      <c r="A132" s="12" t="s">
        <v>6</v>
      </c>
    </row>
    <row r="133" spans="1:14" x14ac:dyDescent="0.15">
      <c r="A133" s="12" t="s">
        <v>205</v>
      </c>
    </row>
    <row r="134" spans="1:14" x14ac:dyDescent="0.15">
      <c r="A134" s="10" t="str">
        <f ca="1">HYPERLINK("#"&amp;CELL("address", Contents!A63), "Back to Table of Contents")</f>
        <v>Back to Table of Contents</v>
      </c>
    </row>
    <row r="136" spans="1:14" x14ac:dyDescent="0.15">
      <c r="A136" s="65" t="s">
        <v>135</v>
      </c>
      <c r="B136" s="65"/>
      <c r="N136" s="18" t="s">
        <v>345</v>
      </c>
    </row>
    <row r="137" spans="1:14" x14ac:dyDescent="0.15">
      <c r="A137" s="65" t="s">
        <v>206</v>
      </c>
      <c r="B137" s="65"/>
    </row>
    <row r="139" spans="1:14" x14ac:dyDescent="0.15">
      <c r="A139" s="51" t="s">
        <v>2</v>
      </c>
      <c r="B139" s="51"/>
      <c r="C139" s="13">
        <v>2023</v>
      </c>
      <c r="D139" s="13">
        <v>2024</v>
      </c>
      <c r="E139" s="13">
        <v>2025</v>
      </c>
      <c r="F139" s="13">
        <v>2026</v>
      </c>
      <c r="G139" s="13">
        <v>2027</v>
      </c>
      <c r="H139" s="13">
        <v>2028</v>
      </c>
      <c r="I139" s="13">
        <v>2029</v>
      </c>
      <c r="J139" s="13">
        <v>2030</v>
      </c>
      <c r="K139" s="13">
        <v>2031</v>
      </c>
      <c r="L139" s="13">
        <v>2032</v>
      </c>
      <c r="M139" s="13" t="s">
        <v>3</v>
      </c>
      <c r="N139" s="13" t="s">
        <v>4</v>
      </c>
    </row>
    <row r="141" spans="1:14" x14ac:dyDescent="0.15">
      <c r="A141" s="51" t="s">
        <v>194</v>
      </c>
      <c r="B141" s="51"/>
    </row>
    <row r="142" spans="1:14" x14ac:dyDescent="0.15">
      <c r="B142" s="12" t="s">
        <v>31</v>
      </c>
      <c r="C142" s="13">
        <v>0</v>
      </c>
      <c r="D142" s="17">
        <v>-3.5</v>
      </c>
      <c r="E142" s="17">
        <v>-3.5</v>
      </c>
      <c r="F142" s="17">
        <v>-3.6</v>
      </c>
      <c r="G142" s="17">
        <v>-3.7</v>
      </c>
      <c r="H142" s="17">
        <v>-3</v>
      </c>
      <c r="I142" s="17">
        <v>-3</v>
      </c>
      <c r="J142" s="17">
        <v>-3</v>
      </c>
      <c r="K142" s="17">
        <v>-3</v>
      </c>
      <c r="L142" s="17">
        <v>-3.1</v>
      </c>
      <c r="M142" s="17">
        <v>-14.3</v>
      </c>
      <c r="N142" s="17">
        <v>-29.3</v>
      </c>
    </row>
    <row r="143" spans="1:14" x14ac:dyDescent="0.15">
      <c r="B143" s="12" t="s">
        <v>32</v>
      </c>
      <c r="C143" s="13">
        <v>0</v>
      </c>
      <c r="D143" s="17">
        <v>-1.8</v>
      </c>
      <c r="E143" s="17">
        <v>-2.8</v>
      </c>
      <c r="F143" s="17">
        <v>-3.2</v>
      </c>
      <c r="G143" s="17">
        <v>-3.4</v>
      </c>
      <c r="H143" s="17">
        <v>-3.5</v>
      </c>
      <c r="I143" s="17">
        <v>-3.4</v>
      </c>
      <c r="J143" s="17">
        <v>-3.2</v>
      </c>
      <c r="K143" s="17">
        <v>-3.1</v>
      </c>
      <c r="L143" s="17">
        <v>-3.1</v>
      </c>
      <c r="M143" s="17">
        <v>-11.1</v>
      </c>
      <c r="N143" s="17">
        <v>-27.3</v>
      </c>
    </row>
    <row r="146" spans="1:14" x14ac:dyDescent="0.15">
      <c r="A146" s="51" t="s">
        <v>6</v>
      </c>
      <c r="B146" s="51"/>
    </row>
    <row r="147" spans="1:14" x14ac:dyDescent="0.15">
      <c r="A147" s="51" t="s">
        <v>205</v>
      </c>
      <c r="B147" s="51"/>
    </row>
    <row r="148" spans="1:14" x14ac:dyDescent="0.15">
      <c r="A148" s="61" t="str">
        <f ca="1">HYPERLINK("#"&amp;CELL("address", Contents!A64), "Back to Table of Contents")</f>
        <v>Back to Table of Contents</v>
      </c>
      <c r="B148" s="61"/>
    </row>
    <row r="150" spans="1:14" x14ac:dyDescent="0.15">
      <c r="A150" s="65" t="s">
        <v>136</v>
      </c>
      <c r="B150" s="65"/>
    </row>
    <row r="151" spans="1:14" x14ac:dyDescent="0.15">
      <c r="A151" s="65" t="s">
        <v>207</v>
      </c>
      <c r="B151" s="65"/>
      <c r="M151" s="62" t="s">
        <v>346</v>
      </c>
      <c r="N151" s="62"/>
    </row>
    <row r="153" spans="1:14" x14ac:dyDescent="0.15">
      <c r="A153" s="51" t="s">
        <v>2</v>
      </c>
      <c r="B153" s="51"/>
      <c r="C153" s="13">
        <v>2023</v>
      </c>
      <c r="D153" s="13">
        <v>2024</v>
      </c>
      <c r="E153" s="13">
        <v>2025</v>
      </c>
      <c r="F153" s="13">
        <v>2026</v>
      </c>
      <c r="G153" s="13">
        <v>2027</v>
      </c>
      <c r="H153" s="13">
        <v>2028</v>
      </c>
      <c r="I153" s="13">
        <v>2029</v>
      </c>
      <c r="J153" s="13">
        <v>2030</v>
      </c>
      <c r="K153" s="13">
        <v>2031</v>
      </c>
      <c r="L153" s="13">
        <v>2032</v>
      </c>
      <c r="M153" s="13" t="s">
        <v>3</v>
      </c>
      <c r="N153" s="13" t="s">
        <v>4</v>
      </c>
    </row>
    <row r="155" spans="1:14" x14ac:dyDescent="0.15">
      <c r="A155" s="51" t="s">
        <v>30</v>
      </c>
      <c r="B155" s="51"/>
    </row>
    <row r="156" spans="1:14" x14ac:dyDescent="0.15">
      <c r="B156" s="12" t="s">
        <v>31</v>
      </c>
      <c r="C156" s="13">
        <v>0</v>
      </c>
      <c r="D156" s="17">
        <v>-0.1</v>
      </c>
      <c r="E156" s="17">
        <v>-0.3</v>
      </c>
      <c r="F156" s="17">
        <v>-0.7</v>
      </c>
      <c r="G156" s="17">
        <v>-1.1000000000000001</v>
      </c>
      <c r="H156" s="17">
        <v>-1.5</v>
      </c>
      <c r="I156" s="17">
        <v>-2</v>
      </c>
      <c r="J156" s="17">
        <v>-2.5</v>
      </c>
      <c r="K156" s="17">
        <v>-3</v>
      </c>
      <c r="L156" s="17">
        <v>-3.6</v>
      </c>
      <c r="M156" s="17">
        <v>-2.2000000000000002</v>
      </c>
      <c r="N156" s="17">
        <v>-14.8</v>
      </c>
    </row>
    <row r="157" spans="1:14" x14ac:dyDescent="0.15">
      <c r="B157" s="12" t="s">
        <v>32</v>
      </c>
      <c r="C157" s="13">
        <v>0</v>
      </c>
      <c r="D157" s="17">
        <v>-0.1</v>
      </c>
      <c r="E157" s="17">
        <v>-0.3</v>
      </c>
      <c r="F157" s="17">
        <v>-0.7</v>
      </c>
      <c r="G157" s="17">
        <v>-1.1000000000000001</v>
      </c>
      <c r="H157" s="17">
        <v>-1.5</v>
      </c>
      <c r="I157" s="17">
        <v>-2</v>
      </c>
      <c r="J157" s="17">
        <v>-2.5</v>
      </c>
      <c r="K157" s="17">
        <v>-3</v>
      </c>
      <c r="L157" s="17">
        <v>-3.5</v>
      </c>
      <c r="M157" s="17">
        <v>-2.2000000000000002</v>
      </c>
      <c r="N157" s="17">
        <v>-14.7</v>
      </c>
    </row>
    <row r="158" spans="1:14" x14ac:dyDescent="0.15">
      <c r="A158" s="51" t="s">
        <v>29</v>
      </c>
      <c r="B158" s="51"/>
      <c r="C158" s="13">
        <v>0</v>
      </c>
      <c r="D158" s="17" t="s">
        <v>33</v>
      </c>
      <c r="E158" s="17" t="s">
        <v>33</v>
      </c>
      <c r="F158" s="17">
        <v>-0.1</v>
      </c>
      <c r="G158" s="17">
        <v>-0.2</v>
      </c>
      <c r="H158" s="17">
        <v>-0.4</v>
      </c>
      <c r="I158" s="17">
        <v>-0.4</v>
      </c>
      <c r="J158" s="17">
        <v>-0.6</v>
      </c>
      <c r="K158" s="17">
        <v>-0.8</v>
      </c>
      <c r="L158" s="17">
        <v>-0.9</v>
      </c>
      <c r="M158" s="17">
        <v>-0.4</v>
      </c>
      <c r="N158" s="17">
        <v>-3.7</v>
      </c>
    </row>
    <row r="161" spans="1:14" x14ac:dyDescent="0.15">
      <c r="A161" s="51" t="s">
        <v>90</v>
      </c>
      <c r="B161" s="51"/>
    </row>
    <row r="162" spans="1:14" x14ac:dyDescent="0.15">
      <c r="A162" s="51" t="s">
        <v>36</v>
      </c>
      <c r="B162" s="51"/>
    </row>
    <row r="163" spans="1:14" x14ac:dyDescent="0.15">
      <c r="A163" s="61" t="str">
        <f ca="1">HYPERLINK("#"&amp;CELL("address", Contents!A65), "Back to Table of Contents")</f>
        <v>Back to Table of Contents</v>
      </c>
      <c r="B163" s="61"/>
    </row>
    <row r="165" spans="1:14" x14ac:dyDescent="0.15">
      <c r="A165" s="65" t="s">
        <v>137</v>
      </c>
      <c r="B165" s="65"/>
    </row>
    <row r="166" spans="1:14" x14ac:dyDescent="0.15">
      <c r="A166" s="65" t="s">
        <v>208</v>
      </c>
      <c r="B166" s="65"/>
      <c r="N166" s="18" t="s">
        <v>347</v>
      </c>
    </row>
    <row r="168" spans="1:14" x14ac:dyDescent="0.15">
      <c r="A168" s="51" t="s">
        <v>2</v>
      </c>
      <c r="B168" s="51"/>
      <c r="C168" s="13">
        <v>2023</v>
      </c>
      <c r="D168" s="13">
        <v>2024</v>
      </c>
      <c r="E168" s="13">
        <v>2025</v>
      </c>
      <c r="F168" s="13">
        <v>2026</v>
      </c>
      <c r="G168" s="13">
        <v>2027</v>
      </c>
      <c r="H168" s="13">
        <v>2028</v>
      </c>
      <c r="I168" s="13">
        <v>2029</v>
      </c>
      <c r="J168" s="13">
        <v>2030</v>
      </c>
      <c r="K168" s="13">
        <v>2031</v>
      </c>
      <c r="L168" s="13">
        <v>2032</v>
      </c>
      <c r="M168" s="13" t="s">
        <v>3</v>
      </c>
      <c r="N168" s="13" t="s">
        <v>4</v>
      </c>
    </row>
    <row r="170" spans="1:14" x14ac:dyDescent="0.15">
      <c r="A170" s="51" t="s">
        <v>209</v>
      </c>
      <c r="B170" s="51"/>
    </row>
    <row r="171" spans="1:14" x14ac:dyDescent="0.15">
      <c r="B171" s="12" t="s">
        <v>31</v>
      </c>
      <c r="C171" s="13">
        <v>0</v>
      </c>
      <c r="D171" s="13">
        <v>-18</v>
      </c>
      <c r="E171" s="13">
        <v>-18</v>
      </c>
      <c r="F171" s="13">
        <v>-19</v>
      </c>
      <c r="G171" s="13">
        <v>-19</v>
      </c>
      <c r="H171" s="13">
        <v>-20</v>
      </c>
      <c r="I171" s="13">
        <v>-20</v>
      </c>
      <c r="J171" s="13">
        <v>-21</v>
      </c>
      <c r="K171" s="13">
        <v>-21</v>
      </c>
      <c r="L171" s="13">
        <v>-22</v>
      </c>
      <c r="M171" s="13">
        <v>-74</v>
      </c>
      <c r="N171" s="13">
        <v>-178</v>
      </c>
    </row>
    <row r="172" spans="1:14" x14ac:dyDescent="0.15">
      <c r="B172" s="12" t="s">
        <v>32</v>
      </c>
      <c r="C172" s="13">
        <v>0</v>
      </c>
      <c r="D172" s="13">
        <v>-6</v>
      </c>
      <c r="E172" s="13">
        <v>-12</v>
      </c>
      <c r="F172" s="13">
        <v>-15</v>
      </c>
      <c r="G172" s="13">
        <v>-17</v>
      </c>
      <c r="H172" s="13">
        <v>-18</v>
      </c>
      <c r="I172" s="13">
        <v>-19</v>
      </c>
      <c r="J172" s="13">
        <v>-20</v>
      </c>
      <c r="K172" s="13">
        <v>-20</v>
      </c>
      <c r="L172" s="13">
        <v>-21</v>
      </c>
      <c r="M172" s="13">
        <v>-50</v>
      </c>
      <c r="N172" s="13">
        <v>-148</v>
      </c>
    </row>
    <row r="175" spans="1:14" x14ac:dyDescent="0.15">
      <c r="A175" s="69" t="s">
        <v>6</v>
      </c>
      <c r="B175" s="69"/>
    </row>
    <row r="176" spans="1:14" x14ac:dyDescent="0.15">
      <c r="A176" s="61" t="str">
        <f ca="1">HYPERLINK("#"&amp;CELL("address", Contents!A66), "Back to Table of Contents")</f>
        <v>Back to Table of Contents</v>
      </c>
      <c r="B176" s="61"/>
    </row>
    <row r="178" spans="1:14" x14ac:dyDescent="0.15">
      <c r="A178" s="65" t="s">
        <v>138</v>
      </c>
      <c r="B178" s="65"/>
    </row>
    <row r="179" spans="1:14" x14ac:dyDescent="0.15">
      <c r="A179" s="65" t="s">
        <v>210</v>
      </c>
      <c r="B179" s="65"/>
      <c r="N179" s="18" t="s">
        <v>170</v>
      </c>
    </row>
    <row r="181" spans="1:14" x14ac:dyDescent="0.15">
      <c r="A181" s="51" t="s">
        <v>2</v>
      </c>
      <c r="B181" s="51"/>
      <c r="C181" s="13">
        <v>2023</v>
      </c>
      <c r="D181" s="13">
        <v>2024</v>
      </c>
      <c r="E181" s="13">
        <v>2025</v>
      </c>
      <c r="F181" s="13">
        <v>2026</v>
      </c>
      <c r="G181" s="13">
        <v>2027</v>
      </c>
      <c r="H181" s="13">
        <v>2028</v>
      </c>
      <c r="I181" s="13">
        <v>2029</v>
      </c>
      <c r="J181" s="13">
        <v>2030</v>
      </c>
      <c r="K181" s="13">
        <v>2031</v>
      </c>
      <c r="L181" s="13">
        <v>2032</v>
      </c>
      <c r="M181" s="13" t="s">
        <v>3</v>
      </c>
      <c r="N181" s="13" t="s">
        <v>4</v>
      </c>
    </row>
    <row r="183" spans="1:14" x14ac:dyDescent="0.15">
      <c r="A183" s="51" t="s">
        <v>209</v>
      </c>
      <c r="B183" s="51"/>
    </row>
    <row r="184" spans="1:14" x14ac:dyDescent="0.15">
      <c r="B184" s="12" t="s">
        <v>31</v>
      </c>
      <c r="C184" s="13">
        <v>0</v>
      </c>
      <c r="D184" s="17">
        <v>-1.2</v>
      </c>
      <c r="E184" s="17">
        <v>-1.2</v>
      </c>
      <c r="F184" s="17">
        <v>-1.3</v>
      </c>
      <c r="G184" s="17">
        <v>-1.3</v>
      </c>
      <c r="H184" s="17">
        <v>-1.3</v>
      </c>
      <c r="I184" s="17">
        <v>-1.4</v>
      </c>
      <c r="J184" s="17">
        <v>-1.4</v>
      </c>
      <c r="K184" s="17">
        <v>-1.4</v>
      </c>
      <c r="L184" s="17">
        <v>-1.5</v>
      </c>
      <c r="M184" s="17">
        <v>-4.9000000000000004</v>
      </c>
      <c r="N184" s="17">
        <v>-11.8</v>
      </c>
    </row>
    <row r="185" spans="1:14" x14ac:dyDescent="0.15">
      <c r="B185" s="12" t="s">
        <v>32</v>
      </c>
      <c r="C185" s="13">
        <v>0</v>
      </c>
      <c r="D185" s="17">
        <v>-0.2</v>
      </c>
      <c r="E185" s="17">
        <v>-0.8</v>
      </c>
      <c r="F185" s="17">
        <v>-1</v>
      </c>
      <c r="G185" s="17">
        <v>-1.1000000000000001</v>
      </c>
      <c r="H185" s="17">
        <v>-1.2</v>
      </c>
      <c r="I185" s="17">
        <v>-1.2</v>
      </c>
      <c r="J185" s="17">
        <v>-1.3</v>
      </c>
      <c r="K185" s="17">
        <v>-1.3</v>
      </c>
      <c r="L185" s="17">
        <v>-1.4</v>
      </c>
      <c r="M185" s="17">
        <v>-3.1</v>
      </c>
      <c r="N185" s="17">
        <v>-9.5</v>
      </c>
    </row>
    <row r="188" spans="1:14" x14ac:dyDescent="0.15">
      <c r="A188" s="51" t="s">
        <v>6</v>
      </c>
      <c r="B188" s="51"/>
    </row>
    <row r="189" spans="1:14" x14ac:dyDescent="0.15">
      <c r="A189" s="61" t="str">
        <f ca="1">HYPERLINK("#"&amp;CELL("address", Contents!A67), "Back to Table of Contents")</f>
        <v>Back to Table of Contents</v>
      </c>
      <c r="B189" s="61"/>
    </row>
    <row r="191" spans="1:14" x14ac:dyDescent="0.15">
      <c r="A191" s="65" t="s">
        <v>139</v>
      </c>
      <c r="B191" s="65"/>
    </row>
    <row r="192" spans="1:14" x14ac:dyDescent="0.15">
      <c r="A192" s="65" t="s">
        <v>211</v>
      </c>
      <c r="B192" s="65"/>
      <c r="N192" s="18" t="s">
        <v>170</v>
      </c>
    </row>
    <row r="194" spans="1:14" x14ac:dyDescent="0.15">
      <c r="A194" s="51" t="s">
        <v>2</v>
      </c>
      <c r="B194" s="51"/>
      <c r="C194" s="13">
        <v>2023</v>
      </c>
      <c r="D194" s="13">
        <v>2024</v>
      </c>
      <c r="E194" s="13">
        <v>2025</v>
      </c>
      <c r="F194" s="13">
        <v>2026</v>
      </c>
      <c r="G194" s="13">
        <v>2027</v>
      </c>
      <c r="H194" s="13">
        <v>2028</v>
      </c>
      <c r="I194" s="13">
        <v>2029</v>
      </c>
      <c r="J194" s="13">
        <v>2030</v>
      </c>
      <c r="K194" s="13">
        <v>2031</v>
      </c>
      <c r="L194" s="13">
        <v>2032</v>
      </c>
      <c r="M194" s="13" t="s">
        <v>3</v>
      </c>
      <c r="N194" s="13" t="s">
        <v>4</v>
      </c>
    </row>
    <row r="196" spans="1:14" x14ac:dyDescent="0.15">
      <c r="C196" s="66" t="s">
        <v>212</v>
      </c>
      <c r="D196" s="66"/>
      <c r="E196" s="66"/>
      <c r="F196" s="66"/>
      <c r="G196" s="66"/>
      <c r="H196" s="66"/>
      <c r="I196" s="66"/>
      <c r="J196" s="66"/>
      <c r="K196" s="66"/>
      <c r="L196" s="66"/>
      <c r="M196" s="66"/>
      <c r="N196" s="66"/>
    </row>
    <row r="197" spans="1:14" x14ac:dyDescent="0.15">
      <c r="A197" s="51" t="s">
        <v>30</v>
      </c>
      <c r="B197" s="51"/>
    </row>
    <row r="198" spans="1:14" x14ac:dyDescent="0.15">
      <c r="B198" s="12" t="s">
        <v>31</v>
      </c>
      <c r="C198" s="17">
        <v>-5.8</v>
      </c>
      <c r="D198" s="17">
        <v>-2.6</v>
      </c>
      <c r="E198" s="17">
        <v>-2.7</v>
      </c>
      <c r="F198" s="17">
        <v>-2.8</v>
      </c>
      <c r="G198" s="17">
        <v>-2.9</v>
      </c>
      <c r="H198" s="17">
        <v>-3.1</v>
      </c>
      <c r="I198" s="17">
        <v>-3.2</v>
      </c>
      <c r="J198" s="17">
        <v>-3.2</v>
      </c>
      <c r="K198" s="17">
        <v>-3.2</v>
      </c>
      <c r="L198" s="17">
        <v>-3.3</v>
      </c>
      <c r="M198" s="17">
        <v>-16.8</v>
      </c>
      <c r="N198" s="17">
        <v>-32.799999999999997</v>
      </c>
    </row>
    <row r="199" spans="1:14" x14ac:dyDescent="0.15">
      <c r="B199" s="12" t="s">
        <v>32</v>
      </c>
      <c r="C199" s="17">
        <v>-1.5</v>
      </c>
      <c r="D199" s="17">
        <v>-4.9000000000000004</v>
      </c>
      <c r="E199" s="17">
        <v>-2.6</v>
      </c>
      <c r="F199" s="17">
        <v>-2.7</v>
      </c>
      <c r="G199" s="17">
        <v>-2.8</v>
      </c>
      <c r="H199" s="17">
        <v>-2.9</v>
      </c>
      <c r="I199" s="17">
        <v>-3.1</v>
      </c>
      <c r="J199" s="17">
        <v>-3.2</v>
      </c>
      <c r="K199" s="17">
        <v>-3.2</v>
      </c>
      <c r="L199" s="17">
        <v>-3.2</v>
      </c>
      <c r="M199" s="17">
        <v>-14.5</v>
      </c>
      <c r="N199" s="17">
        <v>-30.1</v>
      </c>
    </row>
    <row r="200" spans="1:14" x14ac:dyDescent="0.15">
      <c r="A200" s="51" t="s">
        <v>29</v>
      </c>
      <c r="B200" s="51"/>
      <c r="C200" s="17">
        <v>-0.5</v>
      </c>
      <c r="D200" s="17">
        <v>-1.7</v>
      </c>
      <c r="E200" s="17">
        <v>-1.1000000000000001</v>
      </c>
      <c r="F200" s="17">
        <v>-1.1000000000000001</v>
      </c>
      <c r="G200" s="17">
        <v>-1.1000000000000001</v>
      </c>
      <c r="H200" s="17">
        <v>-1.2</v>
      </c>
      <c r="I200" s="17">
        <v>-1.3</v>
      </c>
      <c r="J200" s="17">
        <v>-1.3</v>
      </c>
      <c r="K200" s="17">
        <v>-1.3</v>
      </c>
      <c r="L200" s="17">
        <v>-1.3</v>
      </c>
      <c r="M200" s="17">
        <v>-5.5</v>
      </c>
      <c r="N200" s="17">
        <v>-11.9</v>
      </c>
    </row>
    <row r="201" spans="1:14" x14ac:dyDescent="0.15">
      <c r="B201" s="26"/>
      <c r="C201" s="66" t="s">
        <v>213</v>
      </c>
      <c r="D201" s="66"/>
      <c r="E201" s="66"/>
      <c r="F201" s="66"/>
      <c r="G201" s="66"/>
      <c r="H201" s="66"/>
      <c r="I201" s="66"/>
      <c r="J201" s="66"/>
      <c r="K201" s="66"/>
      <c r="L201" s="66"/>
      <c r="M201" s="66"/>
      <c r="N201" s="66"/>
    </row>
    <row r="202" spans="1:14" x14ac:dyDescent="0.15">
      <c r="A202" s="51" t="s">
        <v>30</v>
      </c>
      <c r="B202" s="51"/>
    </row>
    <row r="203" spans="1:14" x14ac:dyDescent="0.15">
      <c r="B203" s="12" t="s">
        <v>31</v>
      </c>
      <c r="C203" s="17">
        <v>-0.8</v>
      </c>
      <c r="D203" s="17">
        <v>-1.3</v>
      </c>
      <c r="E203" s="17">
        <v>-1.3</v>
      </c>
      <c r="F203" s="17">
        <v>-1.3</v>
      </c>
      <c r="G203" s="17">
        <v>-1.3</v>
      </c>
      <c r="H203" s="17">
        <v>-1.7</v>
      </c>
      <c r="I203" s="17">
        <v>-1.7</v>
      </c>
      <c r="J203" s="17">
        <v>-1.8</v>
      </c>
      <c r="K203" s="17">
        <v>-1.8</v>
      </c>
      <c r="L203" s="17">
        <v>-1.8</v>
      </c>
      <c r="M203" s="17">
        <v>-6</v>
      </c>
      <c r="N203" s="17">
        <v>-14.8</v>
      </c>
    </row>
    <row r="204" spans="1:14" x14ac:dyDescent="0.15">
      <c r="B204" s="12" t="s">
        <v>32</v>
      </c>
      <c r="C204" s="17">
        <v>-0.2</v>
      </c>
      <c r="D204" s="17">
        <v>-0.9</v>
      </c>
      <c r="E204" s="17">
        <v>-1.3</v>
      </c>
      <c r="F204" s="17">
        <v>-1.3</v>
      </c>
      <c r="G204" s="17">
        <v>-1.3</v>
      </c>
      <c r="H204" s="17">
        <v>-1.4</v>
      </c>
      <c r="I204" s="17">
        <v>-1.7</v>
      </c>
      <c r="J204" s="17">
        <v>-1.8</v>
      </c>
      <c r="K204" s="17">
        <v>-1.8</v>
      </c>
      <c r="L204" s="17">
        <v>-1.8</v>
      </c>
      <c r="M204" s="17">
        <v>-5</v>
      </c>
      <c r="N204" s="17">
        <v>-13.5</v>
      </c>
    </row>
    <row r="205" spans="1:14" x14ac:dyDescent="0.15">
      <c r="A205" s="51" t="s">
        <v>29</v>
      </c>
      <c r="B205" s="51"/>
      <c r="C205" s="17">
        <v>-0.1</v>
      </c>
      <c r="D205" s="17">
        <v>-0.5</v>
      </c>
      <c r="E205" s="17">
        <v>-0.6</v>
      </c>
      <c r="F205" s="17">
        <v>-0.6</v>
      </c>
      <c r="G205" s="17">
        <v>-0.6</v>
      </c>
      <c r="H205" s="17">
        <v>-0.6</v>
      </c>
      <c r="I205" s="17">
        <v>-0.8</v>
      </c>
      <c r="J205" s="17">
        <v>-0.8</v>
      </c>
      <c r="K205" s="17">
        <v>-0.8</v>
      </c>
      <c r="L205" s="17">
        <v>-0.8</v>
      </c>
      <c r="M205" s="17">
        <v>-2.4</v>
      </c>
      <c r="N205" s="17">
        <v>-6.2</v>
      </c>
    </row>
    <row r="208" spans="1:14" x14ac:dyDescent="0.15">
      <c r="A208" s="51" t="s">
        <v>34</v>
      </c>
      <c r="B208" s="51"/>
    </row>
    <row r="209" spans="1:14" x14ac:dyDescent="0.15">
      <c r="A209" s="51" t="s">
        <v>35</v>
      </c>
      <c r="B209" s="51"/>
      <c r="C209" s="51"/>
      <c r="D209" s="51"/>
      <c r="E209" s="51"/>
      <c r="F209" s="51"/>
      <c r="G209" s="51"/>
      <c r="H209" s="51"/>
      <c r="I209" s="51"/>
      <c r="J209" s="51"/>
      <c r="K209" s="51"/>
    </row>
    <row r="210" spans="1:14" x14ac:dyDescent="0.15">
      <c r="A210" s="61" t="str">
        <f ca="1">HYPERLINK("#"&amp;CELL("address", Contents!A68), "Back to Table of Contents")</f>
        <v>Back to Table of Contents</v>
      </c>
      <c r="B210" s="61"/>
    </row>
    <row r="212" spans="1:14" x14ac:dyDescent="0.15">
      <c r="A212" s="65" t="s">
        <v>140</v>
      </c>
      <c r="B212" s="65"/>
    </row>
    <row r="213" spans="1:14" x14ac:dyDescent="0.15">
      <c r="A213" s="65" t="s">
        <v>214</v>
      </c>
      <c r="B213" s="65"/>
      <c r="N213" s="18" t="s">
        <v>178</v>
      </c>
    </row>
    <row r="215" spans="1:14" x14ac:dyDescent="0.15">
      <c r="A215" s="51" t="s">
        <v>2</v>
      </c>
      <c r="B215" s="51"/>
      <c r="C215" s="13">
        <v>2023</v>
      </c>
      <c r="D215" s="13">
        <v>2024</v>
      </c>
      <c r="E215" s="13">
        <v>2025</v>
      </c>
      <c r="F215" s="13">
        <v>2026</v>
      </c>
      <c r="G215" s="13">
        <v>2027</v>
      </c>
      <c r="H215" s="13">
        <v>2028</v>
      </c>
      <c r="I215" s="13">
        <v>2029</v>
      </c>
      <c r="J215" s="13">
        <v>2030</v>
      </c>
      <c r="K215" s="13">
        <v>2031</v>
      </c>
      <c r="L215" s="13">
        <v>2032</v>
      </c>
      <c r="M215" s="13" t="s">
        <v>3</v>
      </c>
      <c r="N215" s="13" t="s">
        <v>4</v>
      </c>
    </row>
    <row r="217" spans="1:14" x14ac:dyDescent="0.15">
      <c r="A217" s="51" t="s">
        <v>194</v>
      </c>
      <c r="B217" s="51"/>
    </row>
    <row r="218" spans="1:14" x14ac:dyDescent="0.15">
      <c r="B218" s="12" t="s">
        <v>31</v>
      </c>
      <c r="C218" s="17">
        <v>-1.9</v>
      </c>
      <c r="D218" s="17">
        <v>-2</v>
      </c>
      <c r="E218" s="17">
        <v>-2.4</v>
      </c>
      <c r="F218" s="17">
        <v>-2.4</v>
      </c>
      <c r="G218" s="17">
        <v>-2.8</v>
      </c>
      <c r="H218" s="17">
        <v>-2.9</v>
      </c>
      <c r="I218" s="17">
        <v>-3.1</v>
      </c>
      <c r="J218" s="17">
        <v>-3.3</v>
      </c>
      <c r="K218" s="17">
        <v>-3.5</v>
      </c>
      <c r="L218" s="17">
        <v>-3.9</v>
      </c>
      <c r="M218" s="17">
        <v>-11.5</v>
      </c>
      <c r="N218" s="17">
        <v>-28.1</v>
      </c>
    </row>
    <row r="219" spans="1:14" x14ac:dyDescent="0.15">
      <c r="B219" s="12" t="s">
        <v>32</v>
      </c>
      <c r="C219" s="17">
        <v>-1.7</v>
      </c>
      <c r="D219" s="17">
        <v>-1.9</v>
      </c>
      <c r="E219" s="17">
        <v>-2.2999999999999998</v>
      </c>
      <c r="F219" s="17">
        <v>-2.4</v>
      </c>
      <c r="G219" s="17">
        <v>-2.7</v>
      </c>
      <c r="H219" s="17">
        <v>-2.8</v>
      </c>
      <c r="I219" s="17">
        <v>-3</v>
      </c>
      <c r="J219" s="17">
        <v>-3.2</v>
      </c>
      <c r="K219" s="17">
        <v>-3.5</v>
      </c>
      <c r="L219" s="17">
        <v>-3.8</v>
      </c>
      <c r="M219" s="17">
        <v>-11</v>
      </c>
      <c r="N219" s="17">
        <v>-27.4</v>
      </c>
    </row>
    <row r="222" spans="1:14" x14ac:dyDescent="0.15">
      <c r="A222" s="51" t="s">
        <v>24</v>
      </c>
      <c r="B222" s="51"/>
    </row>
    <row r="223" spans="1:14" x14ac:dyDescent="0.15">
      <c r="A223" s="61" t="str">
        <f ca="1">HYPERLINK("#"&amp;CELL("address", Contents!A69), "Back to Table of Contents")</f>
        <v>Back to Table of Contents</v>
      </c>
      <c r="B223" s="61"/>
    </row>
    <row r="225" spans="1:14" x14ac:dyDescent="0.15">
      <c r="A225" s="65" t="s">
        <v>141</v>
      </c>
      <c r="B225" s="65"/>
    </row>
    <row r="226" spans="1:14" x14ac:dyDescent="0.15">
      <c r="A226" s="65" t="s">
        <v>215</v>
      </c>
      <c r="B226" s="65"/>
      <c r="N226" s="18" t="s">
        <v>178</v>
      </c>
    </row>
    <row r="228" spans="1:14" x14ac:dyDescent="0.15">
      <c r="A228" s="51" t="s">
        <v>2</v>
      </c>
      <c r="B228" s="51"/>
      <c r="C228" s="13">
        <v>2023</v>
      </c>
      <c r="D228" s="13">
        <v>2024</v>
      </c>
      <c r="E228" s="13">
        <v>2025</v>
      </c>
      <c r="F228" s="13">
        <v>2026</v>
      </c>
      <c r="G228" s="13">
        <v>2027</v>
      </c>
      <c r="H228" s="13">
        <v>2028</v>
      </c>
      <c r="I228" s="13">
        <v>2029</v>
      </c>
      <c r="J228" s="13">
        <v>2030</v>
      </c>
      <c r="K228" s="13">
        <v>2031</v>
      </c>
      <c r="L228" s="13">
        <v>2032</v>
      </c>
      <c r="M228" s="13" t="s">
        <v>3</v>
      </c>
      <c r="N228" s="13" t="s">
        <v>4</v>
      </c>
    </row>
    <row r="230" spans="1:14" x14ac:dyDescent="0.15">
      <c r="A230" s="51" t="s">
        <v>194</v>
      </c>
      <c r="B230" s="51"/>
    </row>
    <row r="231" spans="1:14" x14ac:dyDescent="0.15">
      <c r="B231" s="12" t="s">
        <v>31</v>
      </c>
      <c r="C231" s="13">
        <v>0</v>
      </c>
      <c r="D231" s="13">
        <v>-11</v>
      </c>
      <c r="E231" s="13">
        <v>-12</v>
      </c>
      <c r="F231" s="13">
        <v>-12</v>
      </c>
      <c r="G231" s="13">
        <v>-12</v>
      </c>
      <c r="H231" s="13">
        <v>-12</v>
      </c>
      <c r="I231" s="13">
        <v>-13</v>
      </c>
      <c r="J231" s="13">
        <v>-13</v>
      </c>
      <c r="K231" s="13">
        <v>-14</v>
      </c>
      <c r="L231" s="13">
        <v>-14</v>
      </c>
      <c r="M231" s="13">
        <v>-57</v>
      </c>
      <c r="N231" s="13">
        <v>-124</v>
      </c>
    </row>
    <row r="232" spans="1:14" x14ac:dyDescent="0.15">
      <c r="B232" s="12" t="s">
        <v>32</v>
      </c>
      <c r="C232" s="13">
        <v>0</v>
      </c>
      <c r="D232" s="13">
        <v>-11</v>
      </c>
      <c r="E232" s="13">
        <v>-11</v>
      </c>
      <c r="F232" s="13">
        <v>-12</v>
      </c>
      <c r="G232" s="13">
        <v>-12</v>
      </c>
      <c r="H232" s="13">
        <v>-12</v>
      </c>
      <c r="I232" s="13">
        <v>-13</v>
      </c>
      <c r="J232" s="13">
        <v>-13</v>
      </c>
      <c r="K232" s="13">
        <v>-14</v>
      </c>
      <c r="L232" s="13">
        <v>-14</v>
      </c>
      <c r="M232" s="13">
        <v>-56</v>
      </c>
      <c r="N232" s="13">
        <v>-121</v>
      </c>
    </row>
    <row r="233" spans="1:14" x14ac:dyDescent="0.15">
      <c r="A233" s="51" t="s">
        <v>29</v>
      </c>
      <c r="B233" s="51"/>
      <c r="C233" s="13">
        <v>0</v>
      </c>
      <c r="D233" s="13">
        <v>3</v>
      </c>
      <c r="E233" s="13">
        <v>4</v>
      </c>
      <c r="F233" s="13">
        <v>4</v>
      </c>
      <c r="G233" s="13">
        <v>4</v>
      </c>
      <c r="H233" s="13">
        <v>4</v>
      </c>
      <c r="I233" s="13">
        <v>4</v>
      </c>
      <c r="J233" s="13">
        <v>4</v>
      </c>
      <c r="K233" s="13">
        <v>4</v>
      </c>
      <c r="L233" s="13">
        <v>4</v>
      </c>
      <c r="M233" s="13">
        <v>18</v>
      </c>
      <c r="N233" s="13">
        <v>40</v>
      </c>
    </row>
    <row r="236" spans="1:14" x14ac:dyDescent="0.15">
      <c r="A236" s="51" t="s">
        <v>6</v>
      </c>
      <c r="B236" s="51"/>
    </row>
    <row r="237" spans="1:14" x14ac:dyDescent="0.15">
      <c r="A237" s="64" t="s">
        <v>216</v>
      </c>
      <c r="B237" s="64"/>
      <c r="C237" s="64"/>
      <c r="D237" s="64"/>
      <c r="E237" s="64"/>
      <c r="F237" s="64"/>
      <c r="G237" s="64"/>
      <c r="H237" s="64"/>
      <c r="I237" s="64"/>
      <c r="J237" s="64"/>
      <c r="K237" s="64"/>
      <c r="L237" s="64"/>
      <c r="M237" s="64"/>
      <c r="N237" s="64"/>
    </row>
    <row r="238" spans="1:14" x14ac:dyDescent="0.15">
      <c r="A238" s="64"/>
      <c r="B238" s="64"/>
      <c r="C238" s="64"/>
      <c r="D238" s="64"/>
      <c r="E238" s="64"/>
      <c r="F238" s="64"/>
      <c r="G238" s="64"/>
      <c r="H238" s="64"/>
      <c r="I238" s="64"/>
      <c r="J238" s="64"/>
      <c r="K238" s="64"/>
      <c r="L238" s="64"/>
      <c r="M238" s="64"/>
      <c r="N238" s="64"/>
    </row>
    <row r="239" spans="1:14" x14ac:dyDescent="0.15">
      <c r="A239" s="61" t="str">
        <f ca="1">HYPERLINK("#"&amp;CELL("address", Contents!A70), "Back to Table of Contents")</f>
        <v>Back to Table of Contents</v>
      </c>
      <c r="B239" s="61"/>
    </row>
    <row r="241" spans="1:14" x14ac:dyDescent="0.15">
      <c r="A241" s="65" t="s">
        <v>142</v>
      </c>
      <c r="B241" s="65"/>
    </row>
    <row r="242" spans="1:14" x14ac:dyDescent="0.15">
      <c r="A242" s="65" t="s">
        <v>217</v>
      </c>
      <c r="B242" s="65"/>
      <c r="F242" s="62" t="s">
        <v>348</v>
      </c>
      <c r="G242" s="62"/>
      <c r="H242" s="62"/>
      <c r="I242" s="62"/>
      <c r="J242" s="62"/>
      <c r="K242" s="62"/>
      <c r="L242" s="62"/>
      <c r="M242" s="62"/>
      <c r="N242" s="62"/>
    </row>
    <row r="244" spans="1:14" x14ac:dyDescent="0.15">
      <c r="A244" s="51" t="s">
        <v>2</v>
      </c>
      <c r="B244" s="51"/>
      <c r="C244" s="13">
        <v>2023</v>
      </c>
      <c r="D244" s="13">
        <v>2024</v>
      </c>
      <c r="E244" s="13">
        <v>2025</v>
      </c>
      <c r="F244" s="13">
        <v>2026</v>
      </c>
      <c r="G244" s="13">
        <v>2027</v>
      </c>
      <c r="H244" s="13">
        <v>2028</v>
      </c>
      <c r="I244" s="13">
        <v>2029</v>
      </c>
      <c r="J244" s="13">
        <v>2030</v>
      </c>
      <c r="K244" s="13">
        <v>2031</v>
      </c>
      <c r="L244" s="13">
        <v>2032</v>
      </c>
      <c r="M244" s="13" t="s">
        <v>3</v>
      </c>
      <c r="N244" s="13" t="s">
        <v>4</v>
      </c>
    </row>
    <row r="246" spans="1:14" x14ac:dyDescent="0.15">
      <c r="A246" s="51" t="s">
        <v>30</v>
      </c>
      <c r="B246" s="51"/>
    </row>
    <row r="247" spans="1:14" x14ac:dyDescent="0.15">
      <c r="B247" s="12" t="s">
        <v>31</v>
      </c>
      <c r="C247" s="13">
        <v>0</v>
      </c>
      <c r="D247" s="17">
        <v>-1.1000000000000001</v>
      </c>
      <c r="E247" s="17">
        <v>-2.6</v>
      </c>
      <c r="F247" s="17">
        <v>-4.2</v>
      </c>
      <c r="G247" s="17">
        <v>-6</v>
      </c>
      <c r="H247" s="17">
        <v>-7.8</v>
      </c>
      <c r="I247" s="17">
        <v>-9.8000000000000007</v>
      </c>
      <c r="J247" s="17">
        <v>-11.8</v>
      </c>
      <c r="K247" s="17">
        <v>-14</v>
      </c>
      <c r="L247" s="17">
        <v>-16.2</v>
      </c>
      <c r="M247" s="17">
        <v>-13.9</v>
      </c>
      <c r="N247" s="17">
        <v>-73.5</v>
      </c>
    </row>
    <row r="248" spans="1:14" x14ac:dyDescent="0.15">
      <c r="B248" s="12" t="s">
        <v>32</v>
      </c>
      <c r="C248" s="13">
        <v>0</v>
      </c>
      <c r="D248" s="17">
        <v>-1.1000000000000001</v>
      </c>
      <c r="E248" s="17">
        <v>-2.5</v>
      </c>
      <c r="F248" s="17">
        <v>-4.0999999999999996</v>
      </c>
      <c r="G248" s="17">
        <v>-5.9</v>
      </c>
      <c r="H248" s="17">
        <v>-7.7</v>
      </c>
      <c r="I248" s="17">
        <v>-9.6999999999999904</v>
      </c>
      <c r="J248" s="17">
        <v>-11.7</v>
      </c>
      <c r="K248" s="17">
        <v>-13.9</v>
      </c>
      <c r="L248" s="17">
        <v>-16.100000000000001</v>
      </c>
      <c r="M248" s="17">
        <v>-13.6</v>
      </c>
      <c r="N248" s="17">
        <v>-72.7</v>
      </c>
    </row>
    <row r="249" spans="1:14" x14ac:dyDescent="0.15">
      <c r="A249" s="51" t="s">
        <v>29</v>
      </c>
      <c r="B249" s="51"/>
      <c r="C249" s="13">
        <v>0</v>
      </c>
      <c r="D249" s="17">
        <v>0.2</v>
      </c>
      <c r="E249" s="17">
        <v>0.5</v>
      </c>
      <c r="F249" s="17">
        <v>0.9</v>
      </c>
      <c r="G249" s="17">
        <v>1.3</v>
      </c>
      <c r="H249" s="17">
        <v>1.7</v>
      </c>
      <c r="I249" s="17">
        <v>2.1</v>
      </c>
      <c r="J249" s="17">
        <v>2.5</v>
      </c>
      <c r="K249" s="17">
        <v>3</v>
      </c>
      <c r="L249" s="17">
        <v>3.5</v>
      </c>
      <c r="M249" s="17">
        <v>2.9</v>
      </c>
      <c r="N249" s="17">
        <v>15.7</v>
      </c>
    </row>
    <row r="252" spans="1:14" x14ac:dyDescent="0.15">
      <c r="A252" s="51" t="s">
        <v>90</v>
      </c>
      <c r="B252" s="51"/>
    </row>
    <row r="253" spans="1:14" ht="14.25" customHeight="1" x14ac:dyDescent="0.15">
      <c r="A253" s="64" t="s">
        <v>218</v>
      </c>
      <c r="B253" s="64"/>
      <c r="C253" s="64"/>
      <c r="D253" s="64"/>
      <c r="E253" s="64"/>
      <c r="F253" s="64"/>
      <c r="G253" s="64"/>
      <c r="H253" s="64"/>
      <c r="I253" s="64"/>
      <c r="J253" s="64"/>
      <c r="K253" s="64"/>
      <c r="L253" s="64"/>
      <c r="M253" s="64"/>
      <c r="N253" s="64"/>
    </row>
    <row r="254" spans="1:14" x14ac:dyDescent="0.15">
      <c r="A254" s="64"/>
      <c r="B254" s="64"/>
      <c r="C254" s="64"/>
      <c r="D254" s="64"/>
      <c r="E254" s="64"/>
      <c r="F254" s="64"/>
      <c r="G254" s="64"/>
      <c r="H254" s="64"/>
      <c r="I254" s="64"/>
      <c r="J254" s="64"/>
      <c r="K254" s="64"/>
      <c r="L254" s="64"/>
      <c r="M254" s="64"/>
      <c r="N254" s="64"/>
    </row>
    <row r="255" spans="1:14" x14ac:dyDescent="0.15">
      <c r="A255" s="64"/>
      <c r="B255" s="64"/>
      <c r="C255" s="64"/>
      <c r="D255" s="64"/>
      <c r="E255" s="64"/>
      <c r="F255" s="64"/>
      <c r="G255" s="64"/>
      <c r="H255" s="64"/>
      <c r="I255" s="64"/>
      <c r="J255" s="64"/>
      <c r="K255" s="64"/>
      <c r="L255" s="64"/>
      <c r="M255" s="64"/>
      <c r="N255" s="64"/>
    </row>
    <row r="256" spans="1:14" x14ac:dyDescent="0.15">
      <c r="A256" s="61" t="str">
        <f ca="1">HYPERLINK("#"&amp;CELL("address", Contents!A71), "Back to Table of Contents")</f>
        <v>Back to Table of Contents</v>
      </c>
      <c r="B256" s="61"/>
    </row>
    <row r="258" spans="1:14" x14ac:dyDescent="0.15">
      <c r="A258" s="65" t="s">
        <v>143</v>
      </c>
      <c r="B258" s="65"/>
    </row>
    <row r="259" spans="1:14" x14ac:dyDescent="0.15">
      <c r="A259" s="65" t="s">
        <v>219</v>
      </c>
      <c r="B259" s="65"/>
      <c r="H259" s="62" t="s">
        <v>349</v>
      </c>
      <c r="I259" s="62"/>
      <c r="J259" s="62"/>
      <c r="K259" s="62"/>
      <c r="L259" s="62"/>
      <c r="M259" s="62"/>
      <c r="N259" s="62"/>
    </row>
    <row r="260" spans="1:14" x14ac:dyDescent="0.15">
      <c r="A260" s="29"/>
      <c r="B260" s="29"/>
    </row>
    <row r="261" spans="1:14" ht="16.5" customHeight="1" x14ac:dyDescent="0.15">
      <c r="A261" s="51" t="s">
        <v>2</v>
      </c>
      <c r="B261" s="51"/>
      <c r="C261" s="13">
        <v>2023</v>
      </c>
      <c r="D261" s="13">
        <v>2024</v>
      </c>
      <c r="E261" s="13">
        <v>2025</v>
      </c>
      <c r="F261" s="13">
        <v>2026</v>
      </c>
      <c r="G261" s="13">
        <v>2027</v>
      </c>
      <c r="H261" s="13">
        <v>2028</v>
      </c>
      <c r="I261" s="13">
        <v>2029</v>
      </c>
      <c r="J261" s="13">
        <v>2030</v>
      </c>
      <c r="K261" s="13">
        <v>2031</v>
      </c>
      <c r="L261" s="13">
        <v>2032</v>
      </c>
      <c r="M261" s="13" t="s">
        <v>3</v>
      </c>
      <c r="N261" s="13" t="s">
        <v>4</v>
      </c>
    </row>
    <row r="262" spans="1:14" x14ac:dyDescent="0.15">
      <c r="A262" s="29"/>
      <c r="B262" s="29"/>
    </row>
    <row r="263" spans="1:14" ht="16.5" customHeight="1" x14ac:dyDescent="0.15">
      <c r="A263" s="29"/>
      <c r="B263" s="29"/>
      <c r="C263" s="66" t="s">
        <v>339</v>
      </c>
      <c r="D263" s="66"/>
      <c r="E263" s="66"/>
      <c r="F263" s="66"/>
      <c r="G263" s="66"/>
      <c r="H263" s="66"/>
      <c r="I263" s="66"/>
      <c r="J263" s="66"/>
      <c r="K263" s="66"/>
      <c r="L263" s="66"/>
      <c r="M263" s="66"/>
      <c r="N263" s="66"/>
    </row>
    <row r="264" spans="1:14" x14ac:dyDescent="0.15">
      <c r="A264" s="51" t="s">
        <v>209</v>
      </c>
      <c r="B264" s="51"/>
    </row>
    <row r="265" spans="1:14" x14ac:dyDescent="0.15">
      <c r="A265" s="26"/>
      <c r="B265" s="26" t="s">
        <v>31</v>
      </c>
      <c r="C265" s="13">
        <v>0</v>
      </c>
      <c r="D265" s="17">
        <v>-0.1</v>
      </c>
      <c r="E265" s="17">
        <v>-0.2</v>
      </c>
      <c r="F265" s="17">
        <v>-0.2</v>
      </c>
      <c r="G265" s="17">
        <v>-0.2</v>
      </c>
      <c r="H265" s="17">
        <v>-0.2</v>
      </c>
      <c r="I265" s="17">
        <v>-0.3</v>
      </c>
      <c r="J265" s="17">
        <v>-0.3</v>
      </c>
      <c r="K265" s="17">
        <v>-0.3</v>
      </c>
      <c r="L265" s="17">
        <v>-0.3</v>
      </c>
      <c r="M265" s="17">
        <v>-0.8</v>
      </c>
      <c r="N265" s="17">
        <v>-2.1</v>
      </c>
    </row>
    <row r="266" spans="1:14" x14ac:dyDescent="0.15">
      <c r="A266" s="26"/>
      <c r="B266" s="26" t="s">
        <v>32</v>
      </c>
      <c r="C266" s="13">
        <v>0</v>
      </c>
      <c r="D266" s="17" t="s">
        <v>33</v>
      </c>
      <c r="E266" s="17">
        <v>-0.1</v>
      </c>
      <c r="F266" s="17">
        <v>-0.1</v>
      </c>
      <c r="G266" s="17">
        <v>-0.2</v>
      </c>
      <c r="H266" s="17">
        <v>-0.2</v>
      </c>
      <c r="I266" s="17">
        <v>-0.2</v>
      </c>
      <c r="J266" s="17">
        <v>-0.2</v>
      </c>
      <c r="K266" s="17">
        <v>-0.3</v>
      </c>
      <c r="L266" s="17">
        <v>-0.3</v>
      </c>
      <c r="M266" s="17">
        <v>-0.4</v>
      </c>
      <c r="N266" s="17">
        <v>-1.6</v>
      </c>
    </row>
    <row r="267" spans="1:14" ht="15" x14ac:dyDescent="0.15">
      <c r="A267" s="29"/>
      <c r="B267" s="29"/>
      <c r="C267" s="66" t="s">
        <v>344</v>
      </c>
      <c r="D267" s="66"/>
      <c r="E267" s="66"/>
      <c r="F267" s="66"/>
      <c r="G267" s="66"/>
      <c r="H267" s="66"/>
      <c r="I267" s="66"/>
      <c r="J267" s="66"/>
      <c r="K267" s="66"/>
      <c r="L267" s="66"/>
      <c r="M267" s="66"/>
      <c r="N267" s="66"/>
    </row>
    <row r="268" spans="1:14" ht="16.5" customHeight="1" x14ac:dyDescent="0.15">
      <c r="A268" s="51" t="s">
        <v>209</v>
      </c>
      <c r="B268" s="51"/>
    </row>
    <row r="269" spans="1:14" x14ac:dyDescent="0.15">
      <c r="B269" s="12" t="s">
        <v>31</v>
      </c>
      <c r="C269" s="13">
        <v>0</v>
      </c>
      <c r="D269" s="17">
        <v>-4</v>
      </c>
      <c r="E269" s="17">
        <v>-8.1999999999999993</v>
      </c>
      <c r="F269" s="17">
        <v>-8.1999999999999993</v>
      </c>
      <c r="G269" s="17">
        <v>-2.4</v>
      </c>
      <c r="H269" s="17">
        <v>-2.5</v>
      </c>
      <c r="I269" s="17">
        <v>-2.5</v>
      </c>
      <c r="J269" s="17">
        <v>-2.6</v>
      </c>
      <c r="K269" s="17">
        <v>-2.6</v>
      </c>
      <c r="L269" s="17">
        <v>-2.7</v>
      </c>
      <c r="M269" s="17">
        <v>-22.7</v>
      </c>
      <c r="N269" s="17">
        <v>-35.700000000000003</v>
      </c>
    </row>
    <row r="270" spans="1:14" ht="16.5" customHeight="1" x14ac:dyDescent="0.15">
      <c r="B270" s="12" t="s">
        <v>32</v>
      </c>
      <c r="C270" s="13">
        <v>0</v>
      </c>
      <c r="D270" s="17">
        <v>-0.2</v>
      </c>
      <c r="E270" s="17">
        <v>-1.7</v>
      </c>
      <c r="F270" s="17">
        <v>-4.3</v>
      </c>
      <c r="G270" s="17">
        <v>-6.2</v>
      </c>
      <c r="H270" s="17">
        <v>-5.9</v>
      </c>
      <c r="I270" s="17">
        <v>-4.5</v>
      </c>
      <c r="J270" s="17">
        <v>-3.5</v>
      </c>
      <c r="K270" s="17">
        <v>-2.8</v>
      </c>
      <c r="L270" s="17">
        <v>-2.6</v>
      </c>
      <c r="M270" s="17">
        <v>-12.4</v>
      </c>
      <c r="N270" s="17">
        <v>-31.7</v>
      </c>
    </row>
    <row r="271" spans="1:14" x14ac:dyDescent="0.15">
      <c r="C271" s="66" t="s">
        <v>340</v>
      </c>
      <c r="D271" s="66"/>
      <c r="E271" s="66"/>
      <c r="F271" s="66"/>
      <c r="G271" s="66"/>
      <c r="H271" s="66"/>
      <c r="I271" s="66"/>
      <c r="J271" s="66"/>
      <c r="K271" s="66"/>
      <c r="L271" s="66"/>
      <c r="M271" s="66"/>
      <c r="N271" s="66"/>
    </row>
    <row r="272" spans="1:14" x14ac:dyDescent="0.15">
      <c r="A272" s="51" t="s">
        <v>209</v>
      </c>
      <c r="B272" s="51"/>
    </row>
    <row r="273" spans="1:14" x14ac:dyDescent="0.15">
      <c r="B273" s="12" t="s">
        <v>31</v>
      </c>
      <c r="C273" s="13">
        <v>0</v>
      </c>
      <c r="D273" s="17">
        <v>-1.3</v>
      </c>
      <c r="E273" s="17">
        <v>-2.6</v>
      </c>
      <c r="F273" s="17">
        <v>-2.7</v>
      </c>
      <c r="G273" s="17">
        <v>-2.7</v>
      </c>
      <c r="H273" s="17">
        <v>-2.8</v>
      </c>
      <c r="I273" s="17">
        <v>-2.8</v>
      </c>
      <c r="J273" s="17">
        <v>-2.9</v>
      </c>
      <c r="K273" s="17">
        <v>-2.9</v>
      </c>
      <c r="L273" s="17">
        <v>-3</v>
      </c>
      <c r="M273" s="17">
        <v>-9.1999999999999993</v>
      </c>
      <c r="N273" s="17">
        <v>-23.7</v>
      </c>
    </row>
    <row r="274" spans="1:14" x14ac:dyDescent="0.15">
      <c r="B274" s="12" t="s">
        <v>32</v>
      </c>
      <c r="C274" s="13">
        <v>0</v>
      </c>
      <c r="D274" s="13">
        <v>0</v>
      </c>
      <c r="E274" s="17">
        <v>-0.2</v>
      </c>
      <c r="F274" s="17">
        <v>-0.8</v>
      </c>
      <c r="G274" s="17">
        <v>-1.5</v>
      </c>
      <c r="H274" s="17">
        <v>-2</v>
      </c>
      <c r="I274" s="17">
        <v>-2.2000000000000002</v>
      </c>
      <c r="J274" s="17">
        <v>-2.4</v>
      </c>
      <c r="K274" s="17">
        <v>-2.5</v>
      </c>
      <c r="L274" s="17">
        <v>-2.6</v>
      </c>
      <c r="M274" s="17">
        <v>-2.5</v>
      </c>
      <c r="N274" s="17">
        <v>-14.2</v>
      </c>
    </row>
    <row r="275" spans="1:14" x14ac:dyDescent="0.15">
      <c r="C275" s="66" t="s">
        <v>341</v>
      </c>
      <c r="D275" s="66"/>
      <c r="E275" s="66"/>
      <c r="F275" s="66"/>
      <c r="G275" s="66"/>
      <c r="H275" s="66"/>
      <c r="I275" s="66"/>
      <c r="J275" s="66"/>
      <c r="K275" s="66"/>
      <c r="L275" s="66"/>
      <c r="M275" s="66"/>
      <c r="N275" s="66"/>
    </row>
    <row r="276" spans="1:14" x14ac:dyDescent="0.15">
      <c r="A276" s="51" t="s">
        <v>209</v>
      </c>
      <c r="B276" s="51"/>
    </row>
    <row r="277" spans="1:14" x14ac:dyDescent="0.15">
      <c r="B277" s="12" t="s">
        <v>31</v>
      </c>
      <c r="C277" s="13">
        <v>0</v>
      </c>
      <c r="D277" s="17">
        <v>-0.4</v>
      </c>
      <c r="E277" s="17">
        <v>-0.9</v>
      </c>
      <c r="F277" s="17">
        <v>-0.9</v>
      </c>
      <c r="G277" s="17">
        <v>-0.9</v>
      </c>
      <c r="H277" s="17">
        <v>-0.9</v>
      </c>
      <c r="I277" s="17">
        <v>-0.9</v>
      </c>
      <c r="J277" s="17">
        <v>-1</v>
      </c>
      <c r="K277" s="17">
        <v>-1</v>
      </c>
      <c r="L277" s="17">
        <v>-1</v>
      </c>
      <c r="M277" s="17">
        <v>-3.1</v>
      </c>
      <c r="N277" s="17">
        <v>-7.8</v>
      </c>
    </row>
    <row r="278" spans="1:14" x14ac:dyDescent="0.15">
      <c r="B278" s="12" t="s">
        <v>32</v>
      </c>
      <c r="C278" s="13">
        <v>0</v>
      </c>
      <c r="D278" s="13">
        <v>0</v>
      </c>
      <c r="E278" s="17">
        <v>-0.3</v>
      </c>
      <c r="F278" s="17">
        <v>-0.6</v>
      </c>
      <c r="G278" s="17">
        <v>-0.8</v>
      </c>
      <c r="H278" s="17">
        <v>-0.9</v>
      </c>
      <c r="I278" s="17">
        <v>-0.9</v>
      </c>
      <c r="J278" s="17">
        <v>-0.9</v>
      </c>
      <c r="K278" s="17">
        <v>-0.9</v>
      </c>
      <c r="L278" s="17">
        <v>-1</v>
      </c>
      <c r="M278" s="17">
        <v>-1.7</v>
      </c>
      <c r="N278" s="17">
        <v>-6.4</v>
      </c>
    </row>
    <row r="279" spans="1:14" x14ac:dyDescent="0.15">
      <c r="C279" s="66" t="s">
        <v>342</v>
      </c>
      <c r="D279" s="66"/>
      <c r="E279" s="66"/>
      <c r="F279" s="66"/>
      <c r="G279" s="66"/>
      <c r="H279" s="66"/>
      <c r="I279" s="66"/>
      <c r="J279" s="66"/>
      <c r="K279" s="66"/>
      <c r="L279" s="66"/>
      <c r="M279" s="66"/>
      <c r="N279" s="66"/>
    </row>
    <row r="280" spans="1:14" x14ac:dyDescent="0.15">
      <c r="A280" s="51" t="s">
        <v>209</v>
      </c>
      <c r="B280" s="51"/>
    </row>
    <row r="281" spans="1:14" x14ac:dyDescent="0.15">
      <c r="B281" s="12" t="s">
        <v>31</v>
      </c>
      <c r="C281" s="13">
        <v>0</v>
      </c>
      <c r="D281" s="17">
        <v>-0.9</v>
      </c>
      <c r="E281" s="17">
        <v>-1.9</v>
      </c>
      <c r="F281" s="17">
        <v>-1.9</v>
      </c>
      <c r="G281" s="17">
        <v>-2</v>
      </c>
      <c r="H281" s="17">
        <v>-2</v>
      </c>
      <c r="I281" s="17">
        <v>-2.1</v>
      </c>
      <c r="J281" s="17">
        <v>-2.1</v>
      </c>
      <c r="K281" s="17">
        <v>-2.1</v>
      </c>
      <c r="L281" s="17">
        <v>-2.2000000000000002</v>
      </c>
      <c r="M281" s="17">
        <v>-6.7</v>
      </c>
      <c r="N281" s="17">
        <v>-17.2</v>
      </c>
    </row>
    <row r="282" spans="1:14" x14ac:dyDescent="0.15">
      <c r="B282" s="12" t="s">
        <v>32</v>
      </c>
      <c r="C282" s="13">
        <v>0</v>
      </c>
      <c r="D282" s="17">
        <v>-0.1</v>
      </c>
      <c r="E282" s="17">
        <v>-0.3</v>
      </c>
      <c r="F282" s="17">
        <v>-0.7</v>
      </c>
      <c r="G282" s="17">
        <v>-1.2</v>
      </c>
      <c r="H282" s="17">
        <v>-1.6</v>
      </c>
      <c r="I282" s="17">
        <v>-1.9</v>
      </c>
      <c r="J282" s="17">
        <v>-2</v>
      </c>
      <c r="K282" s="17">
        <v>-2.1</v>
      </c>
      <c r="L282" s="17">
        <v>-2.1</v>
      </c>
      <c r="M282" s="17">
        <v>-2.2999999999999998</v>
      </c>
      <c r="N282" s="17">
        <v>-11.9</v>
      </c>
    </row>
    <row r="283" spans="1:14" x14ac:dyDescent="0.15">
      <c r="C283" s="66" t="s">
        <v>15</v>
      </c>
      <c r="D283" s="66"/>
      <c r="E283" s="66"/>
      <c r="F283" s="66"/>
      <c r="G283" s="66"/>
      <c r="H283" s="66"/>
      <c r="I283" s="66"/>
      <c r="J283" s="66"/>
      <c r="K283" s="66"/>
      <c r="L283" s="66"/>
      <c r="M283" s="66"/>
      <c r="N283" s="66"/>
    </row>
    <row r="284" spans="1:14" x14ac:dyDescent="0.15">
      <c r="A284" s="51" t="s">
        <v>209</v>
      </c>
      <c r="B284" s="51"/>
    </row>
    <row r="285" spans="1:14" x14ac:dyDescent="0.15">
      <c r="B285" s="12" t="s">
        <v>31</v>
      </c>
      <c r="C285" s="13">
        <v>0</v>
      </c>
      <c r="D285" s="17">
        <v>-6.7</v>
      </c>
      <c r="E285" s="17">
        <v>-13.8</v>
      </c>
      <c r="F285" s="17">
        <v>-13.9</v>
      </c>
      <c r="G285" s="17">
        <v>-8.1999999999999993</v>
      </c>
      <c r="H285" s="17">
        <v>-8.4</v>
      </c>
      <c r="I285" s="17">
        <v>-8.6</v>
      </c>
      <c r="J285" s="17">
        <v>-8.9</v>
      </c>
      <c r="K285" s="17">
        <v>-8.9</v>
      </c>
      <c r="L285" s="17">
        <v>-9.1999999999999993</v>
      </c>
      <c r="M285" s="17">
        <v>-42.5</v>
      </c>
      <c r="N285" s="17">
        <v>-86.5</v>
      </c>
    </row>
    <row r="286" spans="1:14" x14ac:dyDescent="0.15">
      <c r="B286" s="12" t="s">
        <v>32</v>
      </c>
      <c r="C286" s="13">
        <v>0</v>
      </c>
      <c r="D286" s="17">
        <v>-0.3</v>
      </c>
      <c r="E286" s="17">
        <v>-2.6</v>
      </c>
      <c r="F286" s="17">
        <v>-6.5</v>
      </c>
      <c r="G286" s="17">
        <v>-9.9</v>
      </c>
      <c r="H286" s="17">
        <v>-10.6</v>
      </c>
      <c r="I286" s="17">
        <v>-9.6999999999999993</v>
      </c>
      <c r="J286" s="17">
        <v>-9</v>
      </c>
      <c r="K286" s="17">
        <v>-8.6</v>
      </c>
      <c r="L286" s="17">
        <v>-8.6</v>
      </c>
      <c r="M286" s="17">
        <v>-19.3</v>
      </c>
      <c r="N286" s="17">
        <v>-65.8</v>
      </c>
    </row>
    <row r="287" spans="1:14" x14ac:dyDescent="0.15">
      <c r="A287" s="26"/>
      <c r="B287" s="26"/>
    </row>
    <row r="289" spans="1:14" x14ac:dyDescent="0.15">
      <c r="A289" s="51" t="s">
        <v>6</v>
      </c>
      <c r="B289" s="51"/>
    </row>
    <row r="290" spans="1:14" x14ac:dyDescent="0.15">
      <c r="A290" s="51" t="s">
        <v>36</v>
      </c>
      <c r="B290" s="51"/>
      <c r="D290" s="17"/>
      <c r="E290" s="17"/>
      <c r="F290" s="17"/>
      <c r="G290" s="17"/>
      <c r="H290" s="17"/>
      <c r="I290" s="17"/>
      <c r="J290" s="17"/>
      <c r="K290" s="17"/>
      <c r="L290" s="17"/>
      <c r="M290" s="17"/>
      <c r="N290" s="17"/>
    </row>
    <row r="291" spans="1:14" x14ac:dyDescent="0.15">
      <c r="A291" s="64" t="s">
        <v>343</v>
      </c>
      <c r="B291" s="64"/>
      <c r="C291" s="64"/>
      <c r="D291" s="64"/>
      <c r="E291" s="64"/>
      <c r="F291" s="64"/>
      <c r="G291" s="64"/>
      <c r="H291" s="64"/>
      <c r="I291" s="64"/>
      <c r="J291" s="64"/>
      <c r="K291" s="64"/>
      <c r="L291" s="64"/>
      <c r="M291" s="64"/>
      <c r="N291" s="64"/>
    </row>
    <row r="292" spans="1:14" x14ac:dyDescent="0.15">
      <c r="A292" s="64"/>
      <c r="B292" s="64"/>
      <c r="C292" s="64"/>
      <c r="D292" s="64"/>
      <c r="E292" s="64"/>
      <c r="F292" s="64"/>
      <c r="G292" s="64"/>
      <c r="H292" s="64"/>
      <c r="I292" s="64"/>
      <c r="J292" s="64"/>
      <c r="K292" s="64"/>
      <c r="L292" s="64"/>
      <c r="M292" s="64"/>
      <c r="N292" s="64"/>
    </row>
    <row r="293" spans="1:14" x14ac:dyDescent="0.15">
      <c r="A293" s="61" t="str">
        <f ca="1">HYPERLINK("#"&amp;CELL("address", Contents!A72), "Back to Table of Contents")</f>
        <v>Back to Table of Contents</v>
      </c>
      <c r="B293" s="61"/>
    </row>
    <row r="295" spans="1:14" x14ac:dyDescent="0.15">
      <c r="A295" s="65" t="s">
        <v>144</v>
      </c>
      <c r="B295" s="65"/>
    </row>
    <row r="296" spans="1:14" x14ac:dyDescent="0.15">
      <c r="A296" s="65" t="s">
        <v>220</v>
      </c>
      <c r="B296" s="65"/>
      <c r="H296" s="62" t="s">
        <v>349</v>
      </c>
      <c r="I296" s="62"/>
      <c r="J296" s="62"/>
      <c r="K296" s="62"/>
      <c r="L296" s="62"/>
      <c r="M296" s="62"/>
      <c r="N296" s="62"/>
    </row>
    <row r="298" spans="1:14" x14ac:dyDescent="0.15">
      <c r="A298" s="51" t="s">
        <v>2</v>
      </c>
      <c r="B298" s="51"/>
      <c r="C298" s="13">
        <v>2023</v>
      </c>
      <c r="D298" s="13">
        <v>2024</v>
      </c>
      <c r="E298" s="13">
        <v>2025</v>
      </c>
      <c r="F298" s="13">
        <v>2026</v>
      </c>
      <c r="G298" s="13">
        <v>2027</v>
      </c>
      <c r="H298" s="13">
        <v>2028</v>
      </c>
      <c r="I298" s="13">
        <v>2029</v>
      </c>
      <c r="J298" s="13">
        <v>2030</v>
      </c>
      <c r="K298" s="13">
        <v>2031</v>
      </c>
      <c r="L298" s="13">
        <v>2032</v>
      </c>
      <c r="M298" s="13" t="s">
        <v>3</v>
      </c>
      <c r="N298" s="13" t="s">
        <v>4</v>
      </c>
    </row>
    <row r="300" spans="1:14" x14ac:dyDescent="0.15">
      <c r="A300" s="51" t="s">
        <v>30</v>
      </c>
      <c r="B300" s="51"/>
    </row>
    <row r="301" spans="1:14" x14ac:dyDescent="0.15">
      <c r="B301" s="12" t="s">
        <v>221</v>
      </c>
      <c r="C301" s="13">
        <v>0</v>
      </c>
      <c r="D301" s="17">
        <v>-1.5</v>
      </c>
      <c r="E301" s="17">
        <v>-3</v>
      </c>
      <c r="F301" s="17">
        <v>-3</v>
      </c>
      <c r="G301" s="17">
        <v>-2.6</v>
      </c>
      <c r="H301" s="17">
        <v>-2.7</v>
      </c>
      <c r="I301" s="17">
        <v>-2.8</v>
      </c>
      <c r="J301" s="17">
        <v>-2.8</v>
      </c>
      <c r="K301" s="17">
        <v>-2.9</v>
      </c>
      <c r="L301" s="17">
        <v>-2.9</v>
      </c>
      <c r="M301" s="17">
        <v>-10.199999999999999</v>
      </c>
      <c r="N301" s="17">
        <v>-24.3</v>
      </c>
    </row>
    <row r="302" spans="1:14" x14ac:dyDescent="0.15">
      <c r="B302" s="12" t="s">
        <v>31</v>
      </c>
      <c r="C302" s="13">
        <v>0</v>
      </c>
      <c r="D302" s="17">
        <v>-0.8</v>
      </c>
      <c r="E302" s="17">
        <v>-1.6</v>
      </c>
      <c r="F302" s="17">
        <v>-1.6</v>
      </c>
      <c r="G302" s="17">
        <v>-1.2</v>
      </c>
      <c r="H302" s="17">
        <v>-1.2</v>
      </c>
      <c r="I302" s="17">
        <v>-1.2</v>
      </c>
      <c r="J302" s="17">
        <v>-1.3</v>
      </c>
      <c r="K302" s="17">
        <v>-1.3</v>
      </c>
      <c r="L302" s="17">
        <v>-1.3</v>
      </c>
      <c r="M302" s="17">
        <v>-5.2</v>
      </c>
      <c r="N302" s="17">
        <v>-11.5</v>
      </c>
    </row>
    <row r="303" spans="1:14" x14ac:dyDescent="0.15">
      <c r="B303" s="12" t="s">
        <v>32</v>
      </c>
      <c r="C303" s="13">
        <v>0</v>
      </c>
      <c r="D303" s="17">
        <v>-0.6</v>
      </c>
      <c r="E303" s="17">
        <v>-1.7</v>
      </c>
      <c r="F303" s="17">
        <v>-1.9</v>
      </c>
      <c r="G303" s="17">
        <v>-2</v>
      </c>
      <c r="H303" s="17">
        <v>-2.1</v>
      </c>
      <c r="I303" s="17">
        <v>-2.1</v>
      </c>
      <c r="J303" s="17">
        <v>-2.1</v>
      </c>
      <c r="K303" s="17">
        <v>-2.1</v>
      </c>
      <c r="L303" s="17">
        <v>-2.1</v>
      </c>
      <c r="M303" s="17">
        <v>-6.3</v>
      </c>
      <c r="N303" s="17">
        <v>-16.7</v>
      </c>
    </row>
    <row r="304" spans="1:14" x14ac:dyDescent="0.15">
      <c r="A304" s="51" t="s">
        <v>29</v>
      </c>
      <c r="B304" s="51"/>
      <c r="C304" s="13">
        <v>0</v>
      </c>
      <c r="D304" s="17" t="s">
        <v>33</v>
      </c>
      <c r="E304" s="17" t="s">
        <v>33</v>
      </c>
      <c r="F304" s="17" t="s">
        <v>33</v>
      </c>
      <c r="G304" s="17" t="s">
        <v>33</v>
      </c>
      <c r="H304" s="17" t="s">
        <v>33</v>
      </c>
      <c r="I304" s="17" t="s">
        <v>33</v>
      </c>
      <c r="J304" s="17" t="s">
        <v>33</v>
      </c>
      <c r="K304" s="17" t="s">
        <v>33</v>
      </c>
      <c r="L304" s="17" t="s">
        <v>33</v>
      </c>
      <c r="M304" s="17">
        <v>-0.2</v>
      </c>
      <c r="N304" s="17">
        <v>-0.4</v>
      </c>
    </row>
    <row r="307" spans="1:14" x14ac:dyDescent="0.15">
      <c r="A307" s="51" t="s">
        <v>6</v>
      </c>
      <c r="B307" s="51"/>
    </row>
    <row r="308" spans="1:14" x14ac:dyDescent="0.15">
      <c r="A308" s="51" t="s">
        <v>222</v>
      </c>
      <c r="B308" s="51"/>
      <c r="C308" s="51"/>
      <c r="D308" s="51"/>
    </row>
    <row r="309" spans="1:14" x14ac:dyDescent="0.15">
      <c r="A309" s="64" t="s">
        <v>223</v>
      </c>
      <c r="B309" s="64"/>
      <c r="C309" s="64"/>
      <c r="D309" s="64"/>
      <c r="E309" s="64"/>
      <c r="F309" s="64"/>
      <c r="G309" s="64"/>
      <c r="H309" s="64"/>
      <c r="I309" s="64"/>
      <c r="J309" s="64"/>
      <c r="K309" s="64"/>
      <c r="L309" s="64"/>
      <c r="M309" s="64"/>
      <c r="N309" s="64"/>
    </row>
    <row r="310" spans="1:14" x14ac:dyDescent="0.15">
      <c r="A310" s="64"/>
      <c r="B310" s="64"/>
      <c r="C310" s="64"/>
      <c r="D310" s="64"/>
      <c r="E310" s="64"/>
      <c r="F310" s="64"/>
      <c r="G310" s="64"/>
      <c r="H310" s="64"/>
      <c r="I310" s="64"/>
      <c r="J310" s="64"/>
      <c r="K310" s="64"/>
      <c r="L310" s="64"/>
      <c r="M310" s="64"/>
      <c r="N310" s="64"/>
    </row>
    <row r="311" spans="1:14" x14ac:dyDescent="0.15">
      <c r="A311" s="51" t="s">
        <v>36</v>
      </c>
      <c r="B311" s="51"/>
    </row>
    <row r="312" spans="1:14" x14ac:dyDescent="0.15">
      <c r="A312" s="61" t="str">
        <f ca="1">HYPERLINK("#"&amp;CELL("address", Contents!A73), "Back to Table of Contents")</f>
        <v>Back to Table of Contents</v>
      </c>
      <c r="B312" s="61"/>
    </row>
  </sheetData>
  <mergeCells count="152">
    <mergeCell ref="A1:O1"/>
    <mergeCell ref="A2:N2"/>
    <mergeCell ref="C196:N196"/>
    <mergeCell ref="C201:N201"/>
    <mergeCell ref="A4:B4"/>
    <mergeCell ref="A9:B9"/>
    <mergeCell ref="A11:B11"/>
    <mergeCell ref="A14:B14"/>
    <mergeCell ref="A28:B28"/>
    <mergeCell ref="A31:B31"/>
    <mergeCell ref="A34:B34"/>
    <mergeCell ref="A35:N37"/>
    <mergeCell ref="A38:N40"/>
    <mergeCell ref="A17:B17"/>
    <mergeCell ref="A18:N20"/>
    <mergeCell ref="A23:B23"/>
    <mergeCell ref="A24:B24"/>
    <mergeCell ref="A26:B26"/>
    <mergeCell ref="A21:B21"/>
    <mergeCell ref="A54:J54"/>
    <mergeCell ref="A55:B55"/>
    <mergeCell ref="A56:B56"/>
    <mergeCell ref="A58:B58"/>
    <mergeCell ref="A59:B59"/>
    <mergeCell ref="A61:B61"/>
    <mergeCell ref="A41:B41"/>
    <mergeCell ref="A43:B43"/>
    <mergeCell ref="A44:B44"/>
    <mergeCell ref="A46:B46"/>
    <mergeCell ref="A48:B48"/>
    <mergeCell ref="A53:B53"/>
    <mergeCell ref="A76:B76"/>
    <mergeCell ref="A77:B77"/>
    <mergeCell ref="A79:B79"/>
    <mergeCell ref="A80:B80"/>
    <mergeCell ref="A82:B82"/>
    <mergeCell ref="A84:B84"/>
    <mergeCell ref="C63:N63"/>
    <mergeCell ref="C67:N67"/>
    <mergeCell ref="A68:B68"/>
    <mergeCell ref="A64:B64"/>
    <mergeCell ref="A73:B73"/>
    <mergeCell ref="A74:N75"/>
    <mergeCell ref="A99:B99"/>
    <mergeCell ref="A104:B104"/>
    <mergeCell ref="A105:J105"/>
    <mergeCell ref="A106:B106"/>
    <mergeCell ref="A108:B108"/>
    <mergeCell ref="A109:B109"/>
    <mergeCell ref="A89:B89"/>
    <mergeCell ref="A90:N91"/>
    <mergeCell ref="A92:B92"/>
    <mergeCell ref="A94:B94"/>
    <mergeCell ref="A95:B95"/>
    <mergeCell ref="A97:B97"/>
    <mergeCell ref="A137:B137"/>
    <mergeCell ref="A139:B139"/>
    <mergeCell ref="A141:B141"/>
    <mergeCell ref="A146:B146"/>
    <mergeCell ref="A147:B147"/>
    <mergeCell ref="A148:B148"/>
    <mergeCell ref="A111:B111"/>
    <mergeCell ref="A113:B113"/>
    <mergeCell ref="A118:B118"/>
    <mergeCell ref="A119:J119"/>
    <mergeCell ref="A120:B120"/>
    <mergeCell ref="A136:B136"/>
    <mergeCell ref="A162:B162"/>
    <mergeCell ref="A163:B163"/>
    <mergeCell ref="A165:B165"/>
    <mergeCell ref="A166:B166"/>
    <mergeCell ref="A168:B168"/>
    <mergeCell ref="A170:B170"/>
    <mergeCell ref="A150:B150"/>
    <mergeCell ref="A151:B151"/>
    <mergeCell ref="A153:B153"/>
    <mergeCell ref="A155:B155"/>
    <mergeCell ref="A158:B158"/>
    <mergeCell ref="A161:B161"/>
    <mergeCell ref="A188:B188"/>
    <mergeCell ref="A189:B189"/>
    <mergeCell ref="A191:B191"/>
    <mergeCell ref="A192:B192"/>
    <mergeCell ref="A194:B194"/>
    <mergeCell ref="A197:B197"/>
    <mergeCell ref="A175:B175"/>
    <mergeCell ref="A176:B176"/>
    <mergeCell ref="A178:B178"/>
    <mergeCell ref="A179:B179"/>
    <mergeCell ref="A181:B181"/>
    <mergeCell ref="A183:B183"/>
    <mergeCell ref="A212:B212"/>
    <mergeCell ref="A213:B213"/>
    <mergeCell ref="A215:B215"/>
    <mergeCell ref="A217:B217"/>
    <mergeCell ref="A222:B222"/>
    <mergeCell ref="A223:B223"/>
    <mergeCell ref="A200:B200"/>
    <mergeCell ref="A202:B202"/>
    <mergeCell ref="A205:B205"/>
    <mergeCell ref="A208:B208"/>
    <mergeCell ref="A209:K209"/>
    <mergeCell ref="A210:B210"/>
    <mergeCell ref="A237:N238"/>
    <mergeCell ref="A239:B239"/>
    <mergeCell ref="A241:B241"/>
    <mergeCell ref="A242:B242"/>
    <mergeCell ref="A244:B244"/>
    <mergeCell ref="A246:B246"/>
    <mergeCell ref="A225:B225"/>
    <mergeCell ref="A226:B226"/>
    <mergeCell ref="A228:B228"/>
    <mergeCell ref="A230:B230"/>
    <mergeCell ref="A233:B233"/>
    <mergeCell ref="A236:B236"/>
    <mergeCell ref="C267:N267"/>
    <mergeCell ref="C271:N271"/>
    <mergeCell ref="C263:N263"/>
    <mergeCell ref="A261:B261"/>
    <mergeCell ref="A264:B264"/>
    <mergeCell ref="A259:B259"/>
    <mergeCell ref="A290:B290"/>
    <mergeCell ref="A293:B293"/>
    <mergeCell ref="A249:B249"/>
    <mergeCell ref="A252:B252"/>
    <mergeCell ref="A253:N255"/>
    <mergeCell ref="A256:B256"/>
    <mergeCell ref="A258:B258"/>
    <mergeCell ref="A308:D308"/>
    <mergeCell ref="A309:N310"/>
    <mergeCell ref="A311:B311"/>
    <mergeCell ref="A312:B312"/>
    <mergeCell ref="M151:N151"/>
    <mergeCell ref="F242:N242"/>
    <mergeCell ref="H259:N259"/>
    <mergeCell ref="H296:N296"/>
    <mergeCell ref="A295:B295"/>
    <mergeCell ref="A296:B296"/>
    <mergeCell ref="A298:B298"/>
    <mergeCell ref="A300:B300"/>
    <mergeCell ref="A304:B304"/>
    <mergeCell ref="A307:B307"/>
    <mergeCell ref="A272:B272"/>
    <mergeCell ref="A268:B268"/>
    <mergeCell ref="A289:B289"/>
    <mergeCell ref="A284:B284"/>
    <mergeCell ref="A280:B280"/>
    <mergeCell ref="A276:B276"/>
    <mergeCell ref="A291:N292"/>
    <mergeCell ref="C279:N279"/>
    <mergeCell ref="C283:N283"/>
    <mergeCell ref="C275:N275"/>
  </mergeCells>
  <hyperlinks>
    <hyperlink ref="A2" r:id="rId1" xr:uid="{F650DBDE-6BFC-44A9-9690-2B28912D70B7}"/>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CDD16-3F5C-47A5-B8DB-3BB111B0B9FA}">
  <dimension ref="A1:O309"/>
  <sheetViews>
    <sheetView workbookViewId="0">
      <selection activeCell="L294" sqref="L294"/>
    </sheetView>
  </sheetViews>
  <sheetFormatPr baseColWidth="10" defaultColWidth="9.1640625" defaultRowHeight="14" x14ac:dyDescent="0.15"/>
  <cols>
    <col min="1" max="2" width="9.1640625" style="12"/>
    <col min="3" max="3" width="83.6640625" style="12" customWidth="1"/>
    <col min="4" max="13" width="9.1640625" style="13"/>
    <col min="14" max="15" width="14.1640625" style="13" customWidth="1"/>
    <col min="16" max="16384" width="9.1640625" style="12"/>
  </cols>
  <sheetData>
    <row r="1" spans="1:15" x14ac:dyDescent="0.15">
      <c r="A1" s="67" t="s">
        <v>382</v>
      </c>
      <c r="B1" s="67"/>
      <c r="C1" s="67"/>
      <c r="D1" s="67"/>
      <c r="E1" s="67"/>
      <c r="F1" s="67"/>
      <c r="G1" s="67"/>
      <c r="H1" s="67"/>
      <c r="I1" s="67"/>
      <c r="J1" s="67"/>
      <c r="K1" s="67"/>
      <c r="L1" s="67"/>
      <c r="M1" s="67"/>
      <c r="N1" s="67"/>
      <c r="O1" s="67"/>
    </row>
    <row r="2" spans="1:15" x14ac:dyDescent="0.15">
      <c r="A2" s="61" t="s">
        <v>365</v>
      </c>
      <c r="B2" s="61"/>
      <c r="C2" s="61"/>
      <c r="D2" s="61"/>
      <c r="E2" s="61"/>
      <c r="F2" s="61"/>
      <c r="G2" s="61"/>
      <c r="H2" s="61"/>
      <c r="I2" s="61"/>
      <c r="J2" s="61"/>
      <c r="K2" s="61"/>
      <c r="L2" s="61"/>
      <c r="M2" s="61"/>
      <c r="N2" s="61"/>
      <c r="O2" s="61"/>
    </row>
    <row r="4" spans="1:15" x14ac:dyDescent="0.15">
      <c r="A4" s="65" t="s">
        <v>361</v>
      </c>
      <c r="B4" s="65"/>
      <c r="C4" s="65"/>
    </row>
    <row r="6" spans="1:15" x14ac:dyDescent="0.15">
      <c r="A6" s="65" t="s">
        <v>145</v>
      </c>
      <c r="B6" s="65"/>
    </row>
    <row r="7" spans="1:15" x14ac:dyDescent="0.15">
      <c r="A7" s="65" t="s">
        <v>224</v>
      </c>
      <c r="B7" s="65"/>
      <c r="C7" s="65"/>
    </row>
    <row r="9" spans="1:15" x14ac:dyDescent="0.15">
      <c r="A9" s="51" t="s">
        <v>2</v>
      </c>
      <c r="B9" s="51"/>
      <c r="D9" s="13">
        <v>2023</v>
      </c>
      <c r="E9" s="13">
        <v>2024</v>
      </c>
      <c r="F9" s="13">
        <v>2025</v>
      </c>
      <c r="G9" s="13">
        <v>2026</v>
      </c>
      <c r="H9" s="13">
        <v>2027</v>
      </c>
      <c r="I9" s="13">
        <v>2028</v>
      </c>
      <c r="J9" s="13">
        <v>2029</v>
      </c>
      <c r="K9" s="13">
        <v>2030</v>
      </c>
      <c r="L9" s="13">
        <v>2031</v>
      </c>
      <c r="M9" s="13">
        <v>2032</v>
      </c>
      <c r="N9" s="13" t="s">
        <v>3</v>
      </c>
      <c r="O9" s="13" t="s">
        <v>4</v>
      </c>
    </row>
    <row r="11" spans="1:15" x14ac:dyDescent="0.15">
      <c r="A11" s="51" t="s">
        <v>117</v>
      </c>
      <c r="B11" s="51"/>
      <c r="C11" s="51"/>
      <c r="D11" s="17">
        <v>-2.7</v>
      </c>
      <c r="E11" s="17">
        <v>-11.7</v>
      </c>
      <c r="F11" s="17">
        <v>-11.3</v>
      </c>
      <c r="G11" s="17">
        <v>-11</v>
      </c>
      <c r="H11" s="17">
        <v>-10.4</v>
      </c>
      <c r="I11" s="17">
        <v>-10.6</v>
      </c>
      <c r="J11" s="17">
        <v>-10.8</v>
      </c>
      <c r="K11" s="17">
        <v>-10.9</v>
      </c>
      <c r="L11" s="17">
        <v>-11.2</v>
      </c>
      <c r="M11" s="17">
        <v>-11.6</v>
      </c>
      <c r="N11" s="17">
        <v>-47.1</v>
      </c>
      <c r="O11" s="17">
        <v>-102.1</v>
      </c>
    </row>
    <row r="14" spans="1:15" x14ac:dyDescent="0.15">
      <c r="A14" s="51" t="s">
        <v>225</v>
      </c>
      <c r="B14" s="51"/>
      <c r="C14" s="51"/>
    </row>
    <row r="15" spans="1:15" x14ac:dyDescent="0.15">
      <c r="A15" s="51" t="s">
        <v>24</v>
      </c>
      <c r="B15" s="51"/>
      <c r="C15" s="51"/>
    </row>
    <row r="16" spans="1:15" x14ac:dyDescent="0.15">
      <c r="A16" s="61" t="str">
        <f ca="1">HYPERLINK("#"&amp;CELL("address", Contents!A77), "Back to Table of Contents")</f>
        <v>Back to Table of Contents</v>
      </c>
      <c r="B16" s="61"/>
      <c r="C16" s="61"/>
    </row>
    <row r="18" spans="1:15" x14ac:dyDescent="0.15">
      <c r="A18" s="65" t="s">
        <v>146</v>
      </c>
      <c r="B18" s="65"/>
    </row>
    <row r="19" spans="1:15" x14ac:dyDescent="0.15">
      <c r="A19" s="65" t="s">
        <v>226</v>
      </c>
      <c r="B19" s="65"/>
      <c r="C19" s="65"/>
    </row>
    <row r="21" spans="1:15" x14ac:dyDescent="0.15">
      <c r="A21" s="51" t="s">
        <v>2</v>
      </c>
      <c r="B21" s="51"/>
      <c r="D21" s="13">
        <v>2023</v>
      </c>
      <c r="E21" s="13">
        <v>2024</v>
      </c>
      <c r="F21" s="13">
        <v>2025</v>
      </c>
      <c r="G21" s="13">
        <v>2026</v>
      </c>
      <c r="H21" s="13">
        <v>2027</v>
      </c>
      <c r="I21" s="13">
        <v>2028</v>
      </c>
      <c r="J21" s="13">
        <v>2029</v>
      </c>
      <c r="K21" s="13">
        <v>2030</v>
      </c>
      <c r="L21" s="13">
        <v>2031</v>
      </c>
      <c r="M21" s="13">
        <v>2032</v>
      </c>
      <c r="N21" s="13" t="s">
        <v>3</v>
      </c>
      <c r="O21" s="13" t="s">
        <v>4</v>
      </c>
    </row>
    <row r="23" spans="1:15" x14ac:dyDescent="0.15">
      <c r="A23" s="51" t="s">
        <v>117</v>
      </c>
      <c r="B23" s="51"/>
    </row>
    <row r="24" spans="1:15" x14ac:dyDescent="0.15">
      <c r="B24" s="51" t="s">
        <v>227</v>
      </c>
      <c r="C24" s="51"/>
      <c r="D24" s="17">
        <v>-15</v>
      </c>
      <c r="E24" s="17">
        <v>-22</v>
      </c>
      <c r="F24" s="17">
        <v>-22.9</v>
      </c>
      <c r="G24" s="17">
        <v>-18.5</v>
      </c>
      <c r="H24" s="17">
        <v>-17</v>
      </c>
      <c r="I24" s="17">
        <v>-17.8</v>
      </c>
      <c r="J24" s="17">
        <v>-18.5</v>
      </c>
      <c r="K24" s="17">
        <v>-19.3</v>
      </c>
      <c r="L24" s="17">
        <v>-20</v>
      </c>
      <c r="M24" s="17">
        <v>-20.8</v>
      </c>
      <c r="N24" s="17">
        <v>-95.4</v>
      </c>
      <c r="O24" s="17">
        <v>-191.8</v>
      </c>
    </row>
    <row r="25" spans="1:15" x14ac:dyDescent="0.15">
      <c r="B25" s="51" t="s">
        <v>228</v>
      </c>
      <c r="C25" s="51"/>
      <c r="D25" s="17">
        <v>-5.2</v>
      </c>
      <c r="E25" s="17">
        <v>-7.7</v>
      </c>
      <c r="F25" s="17">
        <v>-8.1</v>
      </c>
      <c r="G25" s="17">
        <v>-6.8</v>
      </c>
      <c r="H25" s="17">
        <v>-6.4</v>
      </c>
      <c r="I25" s="17">
        <v>-6.8</v>
      </c>
      <c r="J25" s="17">
        <v>-7.1</v>
      </c>
      <c r="K25" s="17">
        <v>-7.4</v>
      </c>
      <c r="L25" s="17">
        <v>-7.7</v>
      </c>
      <c r="M25" s="17">
        <v>-8</v>
      </c>
      <c r="N25" s="17">
        <v>-34.200000000000003</v>
      </c>
      <c r="O25" s="17">
        <v>-71.3</v>
      </c>
    </row>
    <row r="28" spans="1:15" x14ac:dyDescent="0.15">
      <c r="A28" s="51" t="s">
        <v>225</v>
      </c>
      <c r="B28" s="51"/>
      <c r="C28" s="51"/>
    </row>
    <row r="29" spans="1:15" x14ac:dyDescent="0.15">
      <c r="A29" s="51" t="s">
        <v>24</v>
      </c>
      <c r="B29" s="51"/>
      <c r="C29" s="51"/>
    </row>
    <row r="30" spans="1:15" x14ac:dyDescent="0.15">
      <c r="A30" s="61" t="str">
        <f ca="1">HYPERLINK("#"&amp;CELL("address", Contents!A78), "Back to Table of Contents")</f>
        <v>Back to Table of Contents</v>
      </c>
      <c r="B30" s="61"/>
      <c r="C30" s="61"/>
    </row>
    <row r="32" spans="1:15" x14ac:dyDescent="0.15">
      <c r="A32" s="65" t="s">
        <v>147</v>
      </c>
      <c r="B32" s="65"/>
    </row>
    <row r="33" spans="1:15" x14ac:dyDescent="0.15">
      <c r="A33" s="65" t="s">
        <v>229</v>
      </c>
      <c r="B33" s="65"/>
      <c r="C33" s="65"/>
    </row>
    <row r="35" spans="1:15" x14ac:dyDescent="0.15">
      <c r="A35" s="51" t="s">
        <v>2</v>
      </c>
      <c r="B35" s="51"/>
      <c r="D35" s="13">
        <v>2023</v>
      </c>
      <c r="E35" s="13">
        <v>2024</v>
      </c>
      <c r="F35" s="13">
        <v>2025</v>
      </c>
      <c r="G35" s="13">
        <v>2026</v>
      </c>
      <c r="H35" s="13">
        <v>2027</v>
      </c>
      <c r="I35" s="13">
        <v>2028</v>
      </c>
      <c r="J35" s="13">
        <v>2029</v>
      </c>
      <c r="K35" s="13">
        <v>2030</v>
      </c>
      <c r="L35" s="13">
        <v>2031</v>
      </c>
      <c r="M35" s="13">
        <v>2032</v>
      </c>
      <c r="N35" s="13" t="s">
        <v>3</v>
      </c>
      <c r="O35" s="13" t="s">
        <v>4</v>
      </c>
    </row>
    <row r="37" spans="1:15" x14ac:dyDescent="0.15">
      <c r="A37" s="51" t="s">
        <v>117</v>
      </c>
      <c r="B37" s="51"/>
      <c r="C37" s="51"/>
    </row>
    <row r="38" spans="1:15" x14ac:dyDescent="0.15">
      <c r="B38" s="51" t="s">
        <v>230</v>
      </c>
      <c r="C38" s="51"/>
      <c r="D38" s="17">
        <v>-3.3</v>
      </c>
      <c r="E38" s="17">
        <v>-16.5</v>
      </c>
      <c r="F38" s="17">
        <v>-17.2</v>
      </c>
      <c r="G38" s="17">
        <v>-20.6</v>
      </c>
      <c r="H38" s="17">
        <v>-31.9</v>
      </c>
      <c r="I38" s="17">
        <v>-33.4</v>
      </c>
      <c r="J38" s="17">
        <v>-34.9</v>
      </c>
      <c r="K38" s="17">
        <v>-36.299999999999997</v>
      </c>
      <c r="L38" s="17">
        <v>-37.9</v>
      </c>
      <c r="M38" s="17">
        <v>-39.5</v>
      </c>
      <c r="N38" s="17">
        <v>-89.5</v>
      </c>
      <c r="O38" s="17">
        <v>-271.5</v>
      </c>
    </row>
    <row r="39" spans="1:15" x14ac:dyDescent="0.15">
      <c r="B39" s="51" t="s">
        <v>231</v>
      </c>
      <c r="C39" s="51"/>
      <c r="D39" s="17">
        <v>-3.5</v>
      </c>
      <c r="E39" s="17">
        <v>-17.7</v>
      </c>
      <c r="F39" s="17">
        <v>-19.2</v>
      </c>
      <c r="G39" s="17">
        <v>-21.9</v>
      </c>
      <c r="H39" s="17">
        <v>-28.2</v>
      </c>
      <c r="I39" s="17">
        <v>-30</v>
      </c>
      <c r="J39" s="17">
        <v>-31.8</v>
      </c>
      <c r="K39" s="17">
        <v>-33.299999999999997</v>
      </c>
      <c r="L39" s="17">
        <v>-34.9</v>
      </c>
      <c r="M39" s="17">
        <v>-36.6</v>
      </c>
      <c r="N39" s="17">
        <v>-90.5</v>
      </c>
      <c r="O39" s="17">
        <v>-257</v>
      </c>
    </row>
    <row r="42" spans="1:15" x14ac:dyDescent="0.15">
      <c r="A42" s="51" t="s">
        <v>225</v>
      </c>
      <c r="B42" s="51"/>
      <c r="C42" s="51"/>
    </row>
    <row r="43" spans="1:15" x14ac:dyDescent="0.15">
      <c r="A43" s="51" t="s">
        <v>24</v>
      </c>
      <c r="B43" s="51"/>
      <c r="C43" s="51"/>
    </row>
    <row r="44" spans="1:15" x14ac:dyDescent="0.15">
      <c r="A44" s="61" t="str">
        <f ca="1">HYPERLINK("#"&amp;CELL("address", Contents!A79), "Back to Table of Contents")</f>
        <v>Back to Table of Contents</v>
      </c>
      <c r="B44" s="61"/>
      <c r="C44" s="61"/>
    </row>
    <row r="46" spans="1:15" x14ac:dyDescent="0.15">
      <c r="A46" s="65" t="s">
        <v>148</v>
      </c>
      <c r="B46" s="65"/>
    </row>
    <row r="47" spans="1:15" x14ac:dyDescent="0.15">
      <c r="A47" s="65" t="s">
        <v>350</v>
      </c>
      <c r="B47" s="65"/>
      <c r="C47" s="65"/>
    </row>
    <row r="49" spans="1:15" x14ac:dyDescent="0.15">
      <c r="A49" s="51" t="s">
        <v>2</v>
      </c>
      <c r="B49" s="51"/>
      <c r="D49" s="13">
        <v>2023</v>
      </c>
      <c r="E49" s="13">
        <v>2024</v>
      </c>
      <c r="F49" s="13">
        <v>2025</v>
      </c>
      <c r="G49" s="13">
        <v>2026</v>
      </c>
      <c r="H49" s="13">
        <v>2027</v>
      </c>
      <c r="I49" s="13">
        <v>2028</v>
      </c>
      <c r="J49" s="13">
        <v>2029</v>
      </c>
      <c r="K49" s="13">
        <v>2030</v>
      </c>
      <c r="L49" s="13">
        <v>2031</v>
      </c>
      <c r="M49" s="13">
        <v>2032</v>
      </c>
      <c r="N49" s="13" t="s">
        <v>3</v>
      </c>
      <c r="O49" s="13" t="s">
        <v>4</v>
      </c>
    </row>
    <row r="51" spans="1:15" x14ac:dyDescent="0.15">
      <c r="A51" s="51" t="s">
        <v>117</v>
      </c>
      <c r="B51" s="51"/>
      <c r="C51" s="51"/>
      <c r="D51" s="17">
        <v>-2</v>
      </c>
      <c r="E51" s="17">
        <v>-7.2</v>
      </c>
      <c r="F51" s="17">
        <v>-10.199999999999999</v>
      </c>
      <c r="G51" s="17">
        <v>-12.8</v>
      </c>
      <c r="H51" s="17">
        <v>-15.1</v>
      </c>
      <c r="I51" s="17">
        <v>-17.3</v>
      </c>
      <c r="J51" s="17">
        <v>-19.5</v>
      </c>
      <c r="K51" s="17">
        <v>-21.7</v>
      </c>
      <c r="L51" s="17">
        <v>-24.1</v>
      </c>
      <c r="M51" s="17">
        <v>-26.6</v>
      </c>
      <c r="N51" s="17">
        <v>-47.3</v>
      </c>
      <c r="O51" s="17">
        <v>-156.4</v>
      </c>
    </row>
    <row r="54" spans="1:15" x14ac:dyDescent="0.15">
      <c r="A54" s="51" t="s">
        <v>225</v>
      </c>
      <c r="B54" s="51"/>
      <c r="C54" s="51"/>
    </row>
    <row r="55" spans="1:15" x14ac:dyDescent="0.15">
      <c r="A55" s="51" t="s">
        <v>24</v>
      </c>
      <c r="B55" s="51"/>
      <c r="C55" s="51"/>
    </row>
    <row r="56" spans="1:15" x14ac:dyDescent="0.15">
      <c r="A56" s="61" t="str">
        <f ca="1">HYPERLINK("#"&amp;CELL("address", Contents!A80), "Back to Table of Contents")</f>
        <v>Back to Table of Contents</v>
      </c>
      <c r="B56" s="61"/>
      <c r="C56" s="61"/>
    </row>
    <row r="58" spans="1:15" x14ac:dyDescent="0.15">
      <c r="A58" s="65" t="s">
        <v>149</v>
      </c>
      <c r="B58" s="65"/>
    </row>
    <row r="59" spans="1:15" x14ac:dyDescent="0.15">
      <c r="A59" s="65" t="s">
        <v>232</v>
      </c>
      <c r="B59" s="65"/>
      <c r="C59" s="65"/>
    </row>
    <row r="61" spans="1:15" x14ac:dyDescent="0.15">
      <c r="A61" s="51" t="s">
        <v>2</v>
      </c>
      <c r="B61" s="51"/>
      <c r="D61" s="13">
        <v>2023</v>
      </c>
      <c r="E61" s="13">
        <v>2024</v>
      </c>
      <c r="F61" s="13">
        <v>2025</v>
      </c>
      <c r="G61" s="13">
        <v>2026</v>
      </c>
      <c r="H61" s="13">
        <v>2027</v>
      </c>
      <c r="I61" s="13">
        <v>2028</v>
      </c>
      <c r="J61" s="13">
        <v>2029</v>
      </c>
      <c r="K61" s="13">
        <v>2030</v>
      </c>
      <c r="L61" s="13">
        <v>2031</v>
      </c>
      <c r="M61" s="13">
        <v>2032</v>
      </c>
      <c r="N61" s="13" t="s">
        <v>3</v>
      </c>
      <c r="O61" s="13" t="s">
        <v>4</v>
      </c>
    </row>
    <row r="63" spans="1:15" x14ac:dyDescent="0.15">
      <c r="A63" s="51" t="s">
        <v>117</v>
      </c>
      <c r="B63" s="51"/>
      <c r="C63" s="51"/>
      <c r="D63" s="17">
        <v>-0.1</v>
      </c>
      <c r="E63" s="17">
        <v>-0.6</v>
      </c>
      <c r="F63" s="17">
        <v>-1.4</v>
      </c>
      <c r="G63" s="17">
        <v>-2.1</v>
      </c>
      <c r="H63" s="17">
        <v>-3</v>
      </c>
      <c r="I63" s="17">
        <v>-3.8</v>
      </c>
      <c r="J63" s="17">
        <v>-4.7</v>
      </c>
      <c r="K63" s="17">
        <v>-5.5</v>
      </c>
      <c r="L63" s="17">
        <v>-6.4</v>
      </c>
      <c r="M63" s="17">
        <v>-7.2</v>
      </c>
      <c r="N63" s="17">
        <v>-7.2</v>
      </c>
      <c r="O63" s="17">
        <v>-34.9</v>
      </c>
    </row>
    <row r="66" spans="1:15" x14ac:dyDescent="0.15">
      <c r="A66" s="51" t="s">
        <v>225</v>
      </c>
      <c r="B66" s="51"/>
      <c r="C66" s="51"/>
    </row>
    <row r="67" spans="1:15" x14ac:dyDescent="0.15">
      <c r="A67" s="51" t="s">
        <v>24</v>
      </c>
      <c r="B67" s="51"/>
      <c r="C67" s="51"/>
    </row>
    <row r="68" spans="1:15" x14ac:dyDescent="0.15">
      <c r="A68" s="51" t="s">
        <v>233</v>
      </c>
      <c r="B68" s="51"/>
      <c r="C68" s="51"/>
      <c r="D68" s="51"/>
      <c r="E68" s="51"/>
    </row>
    <row r="69" spans="1:15" x14ac:dyDescent="0.15">
      <c r="A69" s="61" t="str">
        <f ca="1">HYPERLINK("#"&amp;CELL("address", Contents!A81), "Back to Table of Contents")</f>
        <v>Back to Table of Contents</v>
      </c>
      <c r="B69" s="61"/>
      <c r="C69" s="61"/>
    </row>
    <row r="71" spans="1:15" x14ac:dyDescent="0.15">
      <c r="A71" s="65" t="s">
        <v>150</v>
      </c>
      <c r="B71" s="65"/>
    </row>
    <row r="72" spans="1:15" x14ac:dyDescent="0.15">
      <c r="A72" s="65" t="s">
        <v>234</v>
      </c>
      <c r="B72" s="65"/>
      <c r="C72" s="65"/>
      <c r="D72" s="65"/>
      <c r="E72" s="65"/>
      <c r="F72" s="65"/>
      <c r="G72" s="65"/>
      <c r="H72" s="65"/>
    </row>
    <row r="74" spans="1:15" x14ac:dyDescent="0.15">
      <c r="A74" s="51" t="s">
        <v>2</v>
      </c>
      <c r="B74" s="51"/>
      <c r="D74" s="13">
        <v>2023</v>
      </c>
      <c r="E74" s="13">
        <v>2024</v>
      </c>
      <c r="F74" s="13">
        <v>2025</v>
      </c>
      <c r="G74" s="13">
        <v>2026</v>
      </c>
      <c r="H74" s="13">
        <v>2027</v>
      </c>
      <c r="I74" s="13">
        <v>2028</v>
      </c>
      <c r="J74" s="13">
        <v>2029</v>
      </c>
      <c r="K74" s="13">
        <v>2030</v>
      </c>
      <c r="L74" s="13">
        <v>2031</v>
      </c>
      <c r="M74" s="13">
        <v>2032</v>
      </c>
      <c r="N74" s="13" t="s">
        <v>3</v>
      </c>
      <c r="O74" s="13" t="s">
        <v>4</v>
      </c>
    </row>
    <row r="76" spans="1:15" x14ac:dyDescent="0.15">
      <c r="A76" s="51" t="s">
        <v>117</v>
      </c>
      <c r="B76" s="51"/>
      <c r="C76" s="51"/>
      <c r="D76" s="13">
        <v>-14.6</v>
      </c>
      <c r="E76" s="13">
        <v>-22.1</v>
      </c>
      <c r="F76" s="13">
        <v>-23.9</v>
      </c>
      <c r="G76" s="13">
        <v>-24.2</v>
      </c>
      <c r="H76" s="13">
        <v>-25.1</v>
      </c>
      <c r="I76" s="13">
        <v>-25.9</v>
      </c>
      <c r="J76" s="13">
        <v>-26.9</v>
      </c>
      <c r="K76" s="13">
        <v>-27.8</v>
      </c>
      <c r="L76" s="13">
        <v>-28.7</v>
      </c>
      <c r="M76" s="13">
        <v>-29.7</v>
      </c>
      <c r="N76" s="13">
        <v>-109.9</v>
      </c>
      <c r="O76" s="13">
        <v>-248.9</v>
      </c>
    </row>
    <row r="79" spans="1:15" x14ac:dyDescent="0.15">
      <c r="A79" s="51" t="s">
        <v>225</v>
      </c>
      <c r="B79" s="51"/>
      <c r="C79" s="51"/>
    </row>
    <row r="80" spans="1:15" x14ac:dyDescent="0.15">
      <c r="A80" s="51" t="s">
        <v>24</v>
      </c>
      <c r="B80" s="51"/>
      <c r="C80" s="51"/>
    </row>
    <row r="81" spans="1:15" x14ac:dyDescent="0.15">
      <c r="A81" s="61" t="str">
        <f ca="1">HYPERLINK("#"&amp;CELL("address", Contents!A82), "Back to Table of Contents")</f>
        <v>Back to Table of Contents</v>
      </c>
      <c r="B81" s="61"/>
      <c r="C81" s="61"/>
    </row>
    <row r="83" spans="1:15" x14ac:dyDescent="0.15">
      <c r="A83" s="65" t="s">
        <v>151</v>
      </c>
      <c r="B83" s="65"/>
    </row>
    <row r="84" spans="1:15" x14ac:dyDescent="0.15">
      <c r="A84" s="65" t="s">
        <v>235</v>
      </c>
      <c r="B84" s="65"/>
      <c r="C84" s="65"/>
    </row>
    <row r="86" spans="1:15" x14ac:dyDescent="0.15">
      <c r="A86" s="51" t="s">
        <v>2</v>
      </c>
      <c r="B86" s="51"/>
      <c r="D86" s="13">
        <v>2023</v>
      </c>
      <c r="E86" s="13">
        <v>2024</v>
      </c>
      <c r="F86" s="13">
        <v>2025</v>
      </c>
      <c r="G86" s="13">
        <v>2026</v>
      </c>
      <c r="H86" s="13">
        <v>2027</v>
      </c>
      <c r="I86" s="13">
        <v>2028</v>
      </c>
      <c r="J86" s="13">
        <v>2029</v>
      </c>
      <c r="K86" s="13">
        <v>2030</v>
      </c>
      <c r="L86" s="13">
        <v>2031</v>
      </c>
      <c r="M86" s="13">
        <v>2032</v>
      </c>
      <c r="N86" s="13" t="s">
        <v>3</v>
      </c>
      <c r="O86" s="13" t="s">
        <v>4</v>
      </c>
    </row>
    <row r="88" spans="1:15" x14ac:dyDescent="0.15">
      <c r="A88" s="51" t="s">
        <v>117</v>
      </c>
      <c r="B88" s="51"/>
      <c r="C88" s="51"/>
      <c r="D88" s="13">
        <v>-0.9</v>
      </c>
      <c r="E88" s="13">
        <v>-1.3</v>
      </c>
      <c r="F88" s="13">
        <v>-1.2</v>
      </c>
      <c r="G88" s="13">
        <v>-1.1000000000000001</v>
      </c>
      <c r="H88" s="13">
        <v>-1.1000000000000001</v>
      </c>
      <c r="I88" s="13">
        <v>-1.1000000000000001</v>
      </c>
      <c r="J88" s="13">
        <v>-1.2</v>
      </c>
      <c r="K88" s="13">
        <v>-1.2</v>
      </c>
      <c r="L88" s="13">
        <v>-1.2</v>
      </c>
      <c r="M88" s="13">
        <v>-1.2</v>
      </c>
      <c r="N88" s="13">
        <v>-5.6</v>
      </c>
      <c r="O88" s="13">
        <v>-11.5</v>
      </c>
    </row>
    <row r="91" spans="1:15" x14ac:dyDescent="0.15">
      <c r="A91" s="51" t="s">
        <v>225</v>
      </c>
      <c r="B91" s="51"/>
      <c r="C91" s="51"/>
    </row>
    <row r="92" spans="1:15" x14ac:dyDescent="0.15">
      <c r="A92" s="51" t="s">
        <v>24</v>
      </c>
      <c r="B92" s="51"/>
      <c r="C92" s="51"/>
    </row>
    <row r="93" spans="1:15" x14ac:dyDescent="0.15">
      <c r="A93" s="61" t="str">
        <f ca="1">HYPERLINK("#"&amp;CELL("address", Contents!A83), "Back to Table of Contents")</f>
        <v>Back to Table of Contents</v>
      </c>
      <c r="B93" s="61"/>
      <c r="C93" s="61"/>
    </row>
    <row r="95" spans="1:15" x14ac:dyDescent="0.15">
      <c r="A95" s="65" t="s">
        <v>152</v>
      </c>
      <c r="B95" s="65"/>
      <c r="C95" s="26"/>
    </row>
    <row r="96" spans="1:15" x14ac:dyDescent="0.15">
      <c r="A96" s="65" t="s">
        <v>236</v>
      </c>
      <c r="B96" s="65"/>
      <c r="C96" s="65"/>
    </row>
    <row r="98" spans="1:15" x14ac:dyDescent="0.15">
      <c r="A98" s="51" t="s">
        <v>2</v>
      </c>
      <c r="B98" s="51"/>
      <c r="C98" s="26"/>
      <c r="D98" s="13">
        <v>2023</v>
      </c>
      <c r="E98" s="13">
        <v>2024</v>
      </c>
      <c r="F98" s="13">
        <v>2025</v>
      </c>
      <c r="G98" s="13">
        <v>2026</v>
      </c>
      <c r="H98" s="13">
        <v>2027</v>
      </c>
      <c r="I98" s="13">
        <v>2028</v>
      </c>
      <c r="J98" s="13">
        <v>2029</v>
      </c>
      <c r="K98" s="13">
        <v>2030</v>
      </c>
      <c r="L98" s="13">
        <v>2031</v>
      </c>
      <c r="M98" s="13">
        <v>2032</v>
      </c>
      <c r="N98" s="13" t="s">
        <v>3</v>
      </c>
      <c r="O98" s="13" t="s">
        <v>4</v>
      </c>
    </row>
    <row r="100" spans="1:15" x14ac:dyDescent="0.15">
      <c r="A100" s="51" t="s">
        <v>117</v>
      </c>
      <c r="B100" s="51"/>
      <c r="C100" s="51"/>
      <c r="D100" s="13">
        <v>-1.3</v>
      </c>
      <c r="E100" s="13">
        <v>-12.6</v>
      </c>
      <c r="F100" s="13">
        <v>-12.6</v>
      </c>
      <c r="G100" s="13">
        <v>-14.2</v>
      </c>
      <c r="H100" s="13">
        <v>-17.7</v>
      </c>
      <c r="I100" s="13">
        <v>-18.8</v>
      </c>
      <c r="J100" s="13">
        <v>-20.7</v>
      </c>
      <c r="K100" s="13">
        <v>-19.7</v>
      </c>
      <c r="L100" s="17">
        <v>-21</v>
      </c>
      <c r="M100" s="13">
        <v>-22.2</v>
      </c>
      <c r="N100" s="13">
        <v>-58.4</v>
      </c>
      <c r="O100" s="13">
        <v>-160.80000000000001</v>
      </c>
    </row>
    <row r="103" spans="1:15" x14ac:dyDescent="0.15">
      <c r="A103" s="51" t="s">
        <v>225</v>
      </c>
      <c r="B103" s="51"/>
      <c r="C103" s="51"/>
    </row>
    <row r="104" spans="1:15" x14ac:dyDescent="0.15">
      <c r="A104" s="51" t="s">
        <v>24</v>
      </c>
      <c r="B104" s="51"/>
      <c r="C104" s="51"/>
    </row>
    <row r="105" spans="1:15" x14ac:dyDescent="0.15">
      <c r="A105" s="61" t="str">
        <f ca="1">HYPERLINK("#"&amp;CELL("address", Contents!A84), "Back to Table of Contents")</f>
        <v>Back to Table of Contents</v>
      </c>
      <c r="B105" s="61"/>
      <c r="C105" s="61"/>
    </row>
    <row r="107" spans="1:15" x14ac:dyDescent="0.15">
      <c r="A107" s="65" t="s">
        <v>153</v>
      </c>
      <c r="B107" s="65"/>
    </row>
    <row r="108" spans="1:15" x14ac:dyDescent="0.15">
      <c r="A108" s="65" t="s">
        <v>237</v>
      </c>
      <c r="B108" s="65"/>
      <c r="C108" s="65"/>
    </row>
    <row r="110" spans="1:15" x14ac:dyDescent="0.15">
      <c r="A110" s="51" t="s">
        <v>2</v>
      </c>
      <c r="B110" s="51"/>
      <c r="D110" s="13">
        <v>2023</v>
      </c>
      <c r="E110" s="13">
        <v>2024</v>
      </c>
      <c r="F110" s="13">
        <v>2025</v>
      </c>
      <c r="G110" s="13">
        <v>2026</v>
      </c>
      <c r="H110" s="13">
        <v>2027</v>
      </c>
      <c r="I110" s="13">
        <v>2028</v>
      </c>
      <c r="J110" s="13">
        <v>2029</v>
      </c>
      <c r="K110" s="13">
        <v>2030</v>
      </c>
      <c r="L110" s="13">
        <v>2031</v>
      </c>
      <c r="M110" s="13">
        <v>2032</v>
      </c>
      <c r="N110" s="13" t="s">
        <v>3</v>
      </c>
      <c r="O110" s="13" t="s">
        <v>4</v>
      </c>
    </row>
    <row r="112" spans="1:15" x14ac:dyDescent="0.15">
      <c r="A112" s="51" t="s">
        <v>117</v>
      </c>
      <c r="B112" s="51"/>
      <c r="C112" s="51"/>
      <c r="D112" s="13">
        <v>-9.1999999999999904</v>
      </c>
      <c r="E112" s="13">
        <v>-12.7</v>
      </c>
      <c r="F112" s="13">
        <v>-13.1</v>
      </c>
      <c r="G112" s="13">
        <v>-14.4</v>
      </c>
      <c r="H112" s="13">
        <v>-15.8</v>
      </c>
      <c r="I112" s="13">
        <v>-16.899999999999999</v>
      </c>
      <c r="J112" s="13">
        <v>-17.399999999999999</v>
      </c>
      <c r="K112" s="13">
        <v>-17.5</v>
      </c>
      <c r="L112" s="13">
        <v>-17.5</v>
      </c>
      <c r="M112" s="13">
        <v>-17.8</v>
      </c>
      <c r="N112" s="13">
        <v>-65.2</v>
      </c>
      <c r="O112" s="13">
        <v>-152.30000000000001</v>
      </c>
    </row>
    <row r="115" spans="1:15" x14ac:dyDescent="0.15">
      <c r="A115" s="51" t="s">
        <v>225</v>
      </c>
      <c r="B115" s="51"/>
      <c r="C115" s="51"/>
    </row>
    <row r="116" spans="1:15" x14ac:dyDescent="0.15">
      <c r="A116" s="51" t="s">
        <v>24</v>
      </c>
      <c r="B116" s="51"/>
      <c r="C116" s="51"/>
    </row>
    <row r="117" spans="1:15" x14ac:dyDescent="0.15">
      <c r="A117" s="64" t="s">
        <v>238</v>
      </c>
      <c r="B117" s="64"/>
      <c r="C117" s="64"/>
      <c r="D117" s="64"/>
      <c r="E117" s="64"/>
      <c r="F117" s="64"/>
      <c r="G117" s="64"/>
      <c r="H117" s="64"/>
      <c r="I117" s="64"/>
      <c r="J117" s="64"/>
      <c r="K117" s="64"/>
      <c r="L117" s="64"/>
      <c r="M117" s="64"/>
      <c r="N117" s="64"/>
      <c r="O117" s="64"/>
    </row>
    <row r="118" spans="1:15" x14ac:dyDescent="0.15">
      <c r="A118" s="64"/>
      <c r="B118" s="64"/>
      <c r="C118" s="64"/>
      <c r="D118" s="64"/>
      <c r="E118" s="64"/>
      <c r="F118" s="64"/>
      <c r="G118" s="64"/>
      <c r="H118" s="64"/>
      <c r="I118" s="64"/>
      <c r="J118" s="64"/>
      <c r="K118" s="64"/>
      <c r="L118" s="64"/>
      <c r="M118" s="64"/>
      <c r="N118" s="64"/>
      <c r="O118" s="64"/>
    </row>
    <row r="119" spans="1:15" x14ac:dyDescent="0.15">
      <c r="A119" s="61" t="str">
        <f ca="1">HYPERLINK("#"&amp;CELL("address", Contents!A85), "Back to Table of Contents")</f>
        <v>Back to Table of Contents</v>
      </c>
      <c r="B119" s="61"/>
      <c r="C119" s="61"/>
    </row>
    <row r="121" spans="1:15" x14ac:dyDescent="0.15">
      <c r="A121" s="65" t="s">
        <v>154</v>
      </c>
      <c r="B121" s="65"/>
    </row>
    <row r="122" spans="1:15" x14ac:dyDescent="0.15">
      <c r="A122" s="65" t="s">
        <v>239</v>
      </c>
      <c r="B122" s="65"/>
      <c r="C122" s="65"/>
    </row>
    <row r="124" spans="1:15" x14ac:dyDescent="0.15">
      <c r="A124" s="51" t="s">
        <v>2</v>
      </c>
      <c r="B124" s="51"/>
      <c r="D124" s="13">
        <v>2023</v>
      </c>
      <c r="E124" s="13">
        <v>2024</v>
      </c>
      <c r="F124" s="13">
        <v>2025</v>
      </c>
      <c r="G124" s="13">
        <v>2026</v>
      </c>
      <c r="H124" s="13">
        <v>2027</v>
      </c>
      <c r="I124" s="13">
        <v>2028</v>
      </c>
      <c r="J124" s="13">
        <v>2029</v>
      </c>
      <c r="K124" s="13">
        <v>2030</v>
      </c>
      <c r="L124" s="13">
        <v>2031</v>
      </c>
      <c r="M124" s="13">
        <v>2032</v>
      </c>
      <c r="N124" s="13" t="s">
        <v>3</v>
      </c>
      <c r="O124" s="13" t="s">
        <v>4</v>
      </c>
    </row>
    <row r="126" spans="1:15" x14ac:dyDescent="0.15">
      <c r="A126" s="51" t="s">
        <v>117</v>
      </c>
      <c r="B126" s="51"/>
      <c r="C126" s="51"/>
      <c r="D126" s="17">
        <v>-2.9</v>
      </c>
      <c r="E126" s="17">
        <v>-14.4</v>
      </c>
      <c r="F126" s="17">
        <v>-14.2</v>
      </c>
      <c r="G126" s="17">
        <v>-14.1</v>
      </c>
      <c r="H126" s="17">
        <v>-14.2</v>
      </c>
      <c r="I126" s="17">
        <v>-14</v>
      </c>
      <c r="J126" s="17">
        <v>-13.8</v>
      </c>
      <c r="K126" s="17">
        <v>-13.6</v>
      </c>
      <c r="L126" s="17">
        <v>-13.4</v>
      </c>
      <c r="M126" s="17">
        <v>-13.2</v>
      </c>
      <c r="N126" s="17">
        <v>-59.8</v>
      </c>
      <c r="O126" s="17">
        <v>-127.7</v>
      </c>
    </row>
    <row r="129" spans="1:15" x14ac:dyDescent="0.15">
      <c r="A129" s="51" t="s">
        <v>225</v>
      </c>
      <c r="B129" s="51"/>
      <c r="C129" s="51"/>
    </row>
    <row r="130" spans="1:15" x14ac:dyDescent="0.15">
      <c r="A130" s="51" t="s">
        <v>24</v>
      </c>
      <c r="B130" s="51"/>
      <c r="C130" s="51"/>
    </row>
    <row r="131" spans="1:15" x14ac:dyDescent="0.15">
      <c r="A131" s="51" t="s">
        <v>240</v>
      </c>
      <c r="B131" s="51"/>
      <c r="C131" s="51"/>
      <c r="D131" s="51"/>
      <c r="E131" s="51"/>
      <c r="F131" s="51"/>
      <c r="G131" s="51"/>
      <c r="H131" s="51"/>
      <c r="I131" s="51"/>
      <c r="J131" s="51"/>
      <c r="K131" s="51"/>
    </row>
    <row r="132" spans="1:15" x14ac:dyDescent="0.15">
      <c r="A132" s="61" t="str">
        <f ca="1">HYPERLINK("#"&amp;CELL("address", Contents!A86), "Back to Table of Contents")</f>
        <v>Back to Table of Contents</v>
      </c>
      <c r="B132" s="61"/>
      <c r="C132" s="61"/>
    </row>
    <row r="134" spans="1:15" x14ac:dyDescent="0.15">
      <c r="A134" s="65" t="s">
        <v>155</v>
      </c>
      <c r="B134" s="65"/>
    </row>
    <row r="135" spans="1:15" x14ac:dyDescent="0.15">
      <c r="A135" s="65" t="s">
        <v>241</v>
      </c>
      <c r="B135" s="65"/>
      <c r="C135" s="65"/>
      <c r="D135" s="65"/>
      <c r="E135" s="65"/>
      <c r="F135" s="65"/>
      <c r="G135" s="65"/>
      <c r="H135" s="65"/>
    </row>
    <row r="137" spans="1:15" x14ac:dyDescent="0.15">
      <c r="A137" s="51" t="s">
        <v>2</v>
      </c>
      <c r="B137" s="51"/>
      <c r="C137" s="24"/>
      <c r="D137" s="13">
        <v>2023</v>
      </c>
      <c r="E137" s="13">
        <v>2024</v>
      </c>
      <c r="F137" s="13">
        <v>2025</v>
      </c>
      <c r="G137" s="13">
        <v>2026</v>
      </c>
      <c r="H137" s="13">
        <v>2027</v>
      </c>
      <c r="I137" s="13">
        <v>2028</v>
      </c>
      <c r="J137" s="13">
        <v>2029</v>
      </c>
      <c r="K137" s="13">
        <v>2030</v>
      </c>
      <c r="L137" s="13">
        <v>2031</v>
      </c>
      <c r="M137" s="13">
        <v>2032</v>
      </c>
      <c r="N137" s="13" t="s">
        <v>3</v>
      </c>
      <c r="O137" s="13" t="s">
        <v>4</v>
      </c>
    </row>
    <row r="139" spans="1:15" x14ac:dyDescent="0.15">
      <c r="A139" s="51" t="s">
        <v>117</v>
      </c>
      <c r="B139" s="51"/>
      <c r="C139" s="51"/>
      <c r="D139" s="13" t="s">
        <v>33</v>
      </c>
      <c r="E139" s="13">
        <v>-1.3</v>
      </c>
      <c r="F139" s="13">
        <v>-1.3</v>
      </c>
      <c r="G139" s="13">
        <v>-1.3</v>
      </c>
      <c r="H139" s="13">
        <v>-1.2</v>
      </c>
      <c r="I139" s="13">
        <v>-1.2</v>
      </c>
      <c r="J139" s="13">
        <v>-1.2</v>
      </c>
      <c r="K139" s="13">
        <v>-1.3</v>
      </c>
      <c r="L139" s="13">
        <v>-1.3</v>
      </c>
      <c r="M139" s="13">
        <v>-1.3</v>
      </c>
      <c r="N139" s="13">
        <v>-5.0999999999999996</v>
      </c>
      <c r="O139" s="13">
        <v>-11.6</v>
      </c>
    </row>
    <row r="142" spans="1:15" x14ac:dyDescent="0.15">
      <c r="A142" s="51" t="s">
        <v>225</v>
      </c>
      <c r="B142" s="51"/>
      <c r="C142" s="51"/>
    </row>
    <row r="143" spans="1:15" x14ac:dyDescent="0.15">
      <c r="A143" s="51" t="s">
        <v>24</v>
      </c>
      <c r="B143" s="51"/>
      <c r="C143" s="51"/>
    </row>
    <row r="144" spans="1:15" x14ac:dyDescent="0.15">
      <c r="A144" s="51" t="s">
        <v>36</v>
      </c>
      <c r="B144" s="51"/>
      <c r="C144" s="51"/>
    </row>
    <row r="145" spans="1:15" x14ac:dyDescent="0.15">
      <c r="A145" s="61" t="str">
        <f ca="1">HYPERLINK("#"&amp;CELL("address", Contents!A87), "Back to Table of Contents")</f>
        <v>Back to Table of Contents</v>
      </c>
      <c r="B145" s="61"/>
      <c r="C145" s="61"/>
    </row>
    <row r="147" spans="1:15" x14ac:dyDescent="0.15">
      <c r="A147" s="65" t="s">
        <v>156</v>
      </c>
      <c r="B147" s="65"/>
    </row>
    <row r="148" spans="1:15" x14ac:dyDescent="0.15">
      <c r="A148" s="65" t="s">
        <v>242</v>
      </c>
      <c r="B148" s="65"/>
      <c r="C148" s="65"/>
      <c r="D148" s="65"/>
      <c r="E148" s="65"/>
      <c r="F148" s="65"/>
      <c r="G148" s="65"/>
      <c r="H148" s="65"/>
    </row>
    <row r="150" spans="1:15" x14ac:dyDescent="0.15">
      <c r="A150" s="51" t="s">
        <v>2</v>
      </c>
      <c r="B150" s="51"/>
      <c r="D150" s="13">
        <v>2023</v>
      </c>
      <c r="E150" s="13">
        <v>2024</v>
      </c>
      <c r="F150" s="13">
        <v>2025</v>
      </c>
      <c r="G150" s="13">
        <v>2026</v>
      </c>
      <c r="H150" s="13">
        <v>2027</v>
      </c>
      <c r="I150" s="13">
        <v>2028</v>
      </c>
      <c r="J150" s="13">
        <v>2029</v>
      </c>
      <c r="K150" s="13">
        <v>2030</v>
      </c>
      <c r="L150" s="13">
        <v>2031</v>
      </c>
      <c r="M150" s="13">
        <v>2032</v>
      </c>
      <c r="N150" s="13" t="s">
        <v>3</v>
      </c>
      <c r="O150" s="13" t="s">
        <v>4</v>
      </c>
    </row>
    <row r="152" spans="1:15" x14ac:dyDescent="0.15">
      <c r="A152" s="51" t="s">
        <v>117</v>
      </c>
      <c r="B152" s="51"/>
      <c r="C152" s="51"/>
      <c r="D152" s="13">
        <v>-0.1</v>
      </c>
      <c r="E152" s="13">
        <v>-2.8</v>
      </c>
      <c r="F152" s="13">
        <v>-2.7</v>
      </c>
      <c r="G152" s="13">
        <v>-2.7</v>
      </c>
      <c r="H152" s="13">
        <v>-2.6</v>
      </c>
      <c r="I152" s="13">
        <v>-2.8</v>
      </c>
      <c r="J152" s="13">
        <v>-2.8</v>
      </c>
      <c r="K152" s="13">
        <v>-2.7</v>
      </c>
      <c r="L152" s="13">
        <v>-2.7</v>
      </c>
      <c r="M152" s="13">
        <v>-2.6</v>
      </c>
      <c r="N152" s="13">
        <v>-10.9</v>
      </c>
      <c r="O152" s="13">
        <v>-24.5</v>
      </c>
    </row>
    <row r="155" spans="1:15" x14ac:dyDescent="0.15">
      <c r="A155" s="51" t="s">
        <v>225</v>
      </c>
      <c r="B155" s="51"/>
      <c r="C155" s="51"/>
    </row>
    <row r="156" spans="1:15" x14ac:dyDescent="0.15">
      <c r="A156" s="51" t="s">
        <v>24</v>
      </c>
      <c r="B156" s="51"/>
      <c r="C156" s="51"/>
    </row>
    <row r="157" spans="1:15" x14ac:dyDescent="0.15">
      <c r="A157" s="61" t="str">
        <f ca="1">HYPERLINK("#"&amp;CELL("address", Contents!A88), "Back to Table of Contents")</f>
        <v>Back to Table of Contents</v>
      </c>
      <c r="B157" s="61"/>
      <c r="C157" s="61"/>
    </row>
    <row r="159" spans="1:15" x14ac:dyDescent="0.15">
      <c r="A159" s="65" t="s">
        <v>157</v>
      </c>
      <c r="B159" s="65"/>
    </row>
    <row r="160" spans="1:15" x14ac:dyDescent="0.15">
      <c r="A160" s="65" t="s">
        <v>243</v>
      </c>
      <c r="B160" s="65"/>
      <c r="C160" s="65"/>
    </row>
    <row r="162" spans="1:15" x14ac:dyDescent="0.15">
      <c r="A162" s="51" t="s">
        <v>2</v>
      </c>
      <c r="B162" s="51"/>
      <c r="D162" s="13">
        <v>2023</v>
      </c>
      <c r="E162" s="13">
        <v>2024</v>
      </c>
      <c r="F162" s="13">
        <v>2025</v>
      </c>
      <c r="G162" s="13">
        <v>2026</v>
      </c>
      <c r="H162" s="13">
        <v>2027</v>
      </c>
      <c r="I162" s="13">
        <v>2028</v>
      </c>
      <c r="J162" s="13">
        <v>2029</v>
      </c>
      <c r="K162" s="13">
        <v>2030</v>
      </c>
      <c r="L162" s="13">
        <v>2031</v>
      </c>
      <c r="M162" s="13">
        <v>2032</v>
      </c>
      <c r="N162" s="13" t="s">
        <v>3</v>
      </c>
      <c r="O162" s="13" t="s">
        <v>4</v>
      </c>
    </row>
    <row r="164" spans="1:15" x14ac:dyDescent="0.15">
      <c r="A164" s="51" t="s">
        <v>117</v>
      </c>
      <c r="B164" s="51"/>
      <c r="C164" s="51"/>
      <c r="D164" s="17">
        <v>-1.7</v>
      </c>
      <c r="E164" s="17">
        <v>-4.0999999999999996</v>
      </c>
      <c r="F164" s="17">
        <v>-6.6</v>
      </c>
      <c r="G164" s="17">
        <v>-9.3000000000000007</v>
      </c>
      <c r="H164" s="17">
        <v>-12.2</v>
      </c>
      <c r="I164" s="17">
        <v>-14.7</v>
      </c>
      <c r="J164" s="17">
        <v>-17</v>
      </c>
      <c r="K164" s="17">
        <v>-19.5</v>
      </c>
      <c r="L164" s="17">
        <v>-22.2</v>
      </c>
      <c r="M164" s="17">
        <v>-24.2</v>
      </c>
      <c r="N164" s="17">
        <v>-33.9</v>
      </c>
      <c r="O164" s="17">
        <v>-131.5</v>
      </c>
    </row>
    <row r="167" spans="1:15" x14ac:dyDescent="0.15">
      <c r="A167" s="51" t="s">
        <v>225</v>
      </c>
      <c r="B167" s="51"/>
      <c r="C167" s="51"/>
    </row>
    <row r="168" spans="1:15" x14ac:dyDescent="0.15">
      <c r="A168" s="51" t="s">
        <v>24</v>
      </c>
      <c r="B168" s="51"/>
      <c r="C168" s="51"/>
    </row>
    <row r="169" spans="1:15" x14ac:dyDescent="0.15">
      <c r="A169" s="51" t="s">
        <v>244</v>
      </c>
      <c r="B169" s="51"/>
      <c r="C169" s="51"/>
    </row>
    <row r="170" spans="1:15" x14ac:dyDescent="0.15">
      <c r="A170" s="64" t="s">
        <v>245</v>
      </c>
      <c r="B170" s="64"/>
      <c r="C170" s="64"/>
      <c r="D170" s="64"/>
      <c r="E170" s="64"/>
      <c r="F170" s="64"/>
      <c r="G170" s="64"/>
      <c r="H170" s="64"/>
      <c r="I170" s="64"/>
      <c r="J170" s="64"/>
      <c r="K170" s="64"/>
      <c r="L170" s="64"/>
      <c r="M170" s="64"/>
      <c r="N170" s="64"/>
      <c r="O170" s="64"/>
    </row>
    <row r="171" spans="1:15" x14ac:dyDescent="0.15">
      <c r="A171" s="64"/>
      <c r="B171" s="64"/>
      <c r="C171" s="64"/>
      <c r="D171" s="64"/>
      <c r="E171" s="64"/>
      <c r="F171" s="64"/>
      <c r="G171" s="64"/>
      <c r="H171" s="64"/>
      <c r="I171" s="64"/>
      <c r="J171" s="64"/>
      <c r="K171" s="64"/>
      <c r="L171" s="64"/>
      <c r="M171" s="64"/>
      <c r="N171" s="64"/>
      <c r="O171" s="64"/>
    </row>
    <row r="172" spans="1:15" x14ac:dyDescent="0.15">
      <c r="A172" s="61" t="str">
        <f ca="1">HYPERLINK("#"&amp;CELL("address", Contents!A89), "Back to Table of Contents")</f>
        <v>Back to Table of Contents</v>
      </c>
      <c r="B172" s="61"/>
      <c r="C172" s="61"/>
    </row>
    <row r="174" spans="1:15" x14ac:dyDescent="0.15">
      <c r="A174" s="65" t="s">
        <v>158</v>
      </c>
      <c r="B174" s="65"/>
    </row>
    <row r="175" spans="1:15" x14ac:dyDescent="0.15">
      <c r="A175" s="65" t="s">
        <v>246</v>
      </c>
      <c r="B175" s="65"/>
      <c r="C175" s="65"/>
    </row>
    <row r="177" spans="1:15" x14ac:dyDescent="0.15">
      <c r="A177" s="51" t="s">
        <v>2</v>
      </c>
      <c r="B177" s="51"/>
      <c r="C177" s="51"/>
      <c r="D177" s="13">
        <v>2023</v>
      </c>
      <c r="E177" s="13">
        <v>2024</v>
      </c>
      <c r="F177" s="13">
        <v>2025</v>
      </c>
      <c r="G177" s="13">
        <v>2026</v>
      </c>
      <c r="H177" s="13">
        <v>2027</v>
      </c>
      <c r="I177" s="13">
        <v>2028</v>
      </c>
      <c r="J177" s="13">
        <v>2029</v>
      </c>
      <c r="K177" s="13">
        <v>2030</v>
      </c>
      <c r="L177" s="13">
        <v>2031</v>
      </c>
      <c r="M177" s="13">
        <v>2032</v>
      </c>
      <c r="N177" s="13" t="s">
        <v>3</v>
      </c>
      <c r="O177" s="13" t="s">
        <v>4</v>
      </c>
    </row>
    <row r="179" spans="1:15" x14ac:dyDescent="0.15">
      <c r="A179" s="51" t="s">
        <v>117</v>
      </c>
      <c r="B179" s="51"/>
      <c r="C179" s="51"/>
      <c r="D179" s="17">
        <v>-8.1999999999999904</v>
      </c>
      <c r="E179" s="17">
        <v>-11.2</v>
      </c>
      <c r="F179" s="17">
        <v>-11.3</v>
      </c>
      <c r="G179" s="17">
        <v>-12.6</v>
      </c>
      <c r="H179" s="17">
        <v>-13.3</v>
      </c>
      <c r="I179" s="17">
        <v>-13.8</v>
      </c>
      <c r="J179" s="17">
        <v>-14.2</v>
      </c>
      <c r="K179" s="17">
        <v>-14.5</v>
      </c>
      <c r="L179" s="17">
        <v>-14.8</v>
      </c>
      <c r="M179" s="17">
        <v>-15.4</v>
      </c>
      <c r="N179" s="17">
        <v>-56.6</v>
      </c>
      <c r="O179" s="17">
        <v>-129.30000000000001</v>
      </c>
    </row>
    <row r="182" spans="1:15" x14ac:dyDescent="0.15">
      <c r="A182" s="51" t="s">
        <v>225</v>
      </c>
      <c r="B182" s="51"/>
      <c r="C182" s="51"/>
    </row>
    <row r="183" spans="1:15" x14ac:dyDescent="0.15">
      <c r="A183" s="51" t="s">
        <v>24</v>
      </c>
      <c r="B183" s="51"/>
      <c r="C183" s="51"/>
    </row>
    <row r="184" spans="1:15" x14ac:dyDescent="0.15">
      <c r="A184" s="61" t="str">
        <f ca="1">HYPERLINK("#"&amp;CELL("address", Contents!A90), "Back to Table of Contents")</f>
        <v>Back to Table of Contents</v>
      </c>
      <c r="B184" s="61"/>
      <c r="C184" s="61"/>
    </row>
    <row r="186" spans="1:15" x14ac:dyDescent="0.15">
      <c r="A186" s="65" t="s">
        <v>159</v>
      </c>
      <c r="B186" s="65"/>
    </row>
    <row r="187" spans="1:15" x14ac:dyDescent="0.15">
      <c r="A187" s="65" t="s">
        <v>247</v>
      </c>
      <c r="B187" s="65"/>
      <c r="C187" s="65"/>
      <c r="D187" s="65"/>
      <c r="E187" s="65"/>
      <c r="F187" s="65"/>
      <c r="G187" s="65"/>
      <c r="H187" s="65"/>
      <c r="I187" s="65"/>
      <c r="J187" s="65"/>
    </row>
    <row r="188" spans="1:15" x14ac:dyDescent="0.15">
      <c r="A188" s="14"/>
    </row>
    <row r="190" spans="1:15" x14ac:dyDescent="0.15">
      <c r="A190" s="51" t="s">
        <v>2</v>
      </c>
      <c r="B190" s="51"/>
      <c r="D190" s="13">
        <v>2023</v>
      </c>
      <c r="E190" s="13">
        <v>2024</v>
      </c>
      <c r="F190" s="13">
        <v>2025</v>
      </c>
      <c r="G190" s="13">
        <v>2026</v>
      </c>
      <c r="H190" s="13">
        <v>2027</v>
      </c>
      <c r="I190" s="13">
        <v>2028</v>
      </c>
      <c r="J190" s="13">
        <v>2029</v>
      </c>
      <c r="K190" s="13">
        <v>2030</v>
      </c>
      <c r="L190" s="13">
        <v>2031</v>
      </c>
      <c r="M190" s="13">
        <v>2032</v>
      </c>
      <c r="N190" s="13" t="s">
        <v>3</v>
      </c>
      <c r="O190" s="13" t="s">
        <v>4</v>
      </c>
    </row>
    <row r="192" spans="1:15" x14ac:dyDescent="0.15">
      <c r="A192" s="51" t="s">
        <v>117</v>
      </c>
      <c r="B192" s="51"/>
      <c r="C192" s="51"/>
      <c r="D192" s="17">
        <v>-10.1</v>
      </c>
      <c r="E192" s="17">
        <v>-20.2</v>
      </c>
      <c r="F192" s="17">
        <v>-20.3</v>
      </c>
      <c r="G192" s="17">
        <v>-20.3</v>
      </c>
      <c r="H192" s="17">
        <v>-11</v>
      </c>
      <c r="I192" s="17">
        <v>-1.6</v>
      </c>
      <c r="J192" s="17">
        <v>-1.7</v>
      </c>
      <c r="K192" s="17">
        <v>-1.7</v>
      </c>
      <c r="L192" s="17">
        <v>-1.7</v>
      </c>
      <c r="M192" s="17">
        <v>-1.8</v>
      </c>
      <c r="N192" s="17">
        <v>-81.900000000000006</v>
      </c>
      <c r="O192" s="17">
        <v>-90.4</v>
      </c>
    </row>
    <row r="195" spans="1:15" x14ac:dyDescent="0.15">
      <c r="A195" s="51" t="s">
        <v>225</v>
      </c>
      <c r="B195" s="51"/>
      <c r="C195" s="51"/>
    </row>
    <row r="196" spans="1:15" x14ac:dyDescent="0.15">
      <c r="A196" s="51" t="s">
        <v>24</v>
      </c>
      <c r="B196" s="51"/>
      <c r="C196" s="51"/>
    </row>
    <row r="197" spans="1:15" x14ac:dyDescent="0.15">
      <c r="A197" s="61" t="str">
        <f ca="1">HYPERLINK("#"&amp;CELL("address", Contents!A91), "Back to Table of Contents")</f>
        <v>Back to Table of Contents</v>
      </c>
      <c r="B197" s="61"/>
      <c r="C197" s="61"/>
    </row>
    <row r="199" spans="1:15" x14ac:dyDescent="0.15">
      <c r="A199" s="65" t="s">
        <v>160</v>
      </c>
      <c r="B199" s="65"/>
    </row>
    <row r="200" spans="1:15" x14ac:dyDescent="0.15">
      <c r="A200" s="65" t="s">
        <v>248</v>
      </c>
      <c r="B200" s="65"/>
      <c r="C200" s="65"/>
    </row>
    <row r="202" spans="1:15" x14ac:dyDescent="0.15">
      <c r="A202" s="51" t="s">
        <v>2</v>
      </c>
      <c r="B202" s="51"/>
      <c r="D202" s="13">
        <v>2023</v>
      </c>
      <c r="E202" s="13">
        <v>2024</v>
      </c>
      <c r="F202" s="13">
        <v>2025</v>
      </c>
      <c r="G202" s="13">
        <v>2026</v>
      </c>
      <c r="H202" s="13">
        <v>2027</v>
      </c>
      <c r="I202" s="13">
        <v>2028</v>
      </c>
      <c r="J202" s="13">
        <v>2029</v>
      </c>
      <c r="K202" s="13">
        <v>2030</v>
      </c>
      <c r="L202" s="13">
        <v>2031</v>
      </c>
      <c r="M202" s="13">
        <v>2032</v>
      </c>
      <c r="N202" s="13" t="s">
        <v>3</v>
      </c>
      <c r="O202" s="13" t="s">
        <v>4</v>
      </c>
    </row>
    <row r="204" spans="1:15" x14ac:dyDescent="0.15">
      <c r="A204" s="51" t="s">
        <v>117</v>
      </c>
      <c r="B204" s="51"/>
      <c r="C204" s="51"/>
    </row>
    <row r="205" spans="1:15" x14ac:dyDescent="0.15">
      <c r="B205" s="51" t="s">
        <v>249</v>
      </c>
      <c r="C205" s="51"/>
      <c r="D205" s="17">
        <v>-13.4</v>
      </c>
      <c r="E205" s="17">
        <v>-19.600000000000001</v>
      </c>
      <c r="F205" s="17">
        <v>-14.7</v>
      </c>
      <c r="G205" s="17">
        <v>-10</v>
      </c>
      <c r="H205" s="17">
        <v>-4.7</v>
      </c>
      <c r="I205" s="17">
        <v>-2.5</v>
      </c>
      <c r="J205" s="17">
        <v>-2.6</v>
      </c>
      <c r="K205" s="17">
        <v>-2.8</v>
      </c>
      <c r="L205" s="17">
        <v>-2.9</v>
      </c>
      <c r="M205" s="17">
        <v>-3</v>
      </c>
      <c r="N205" s="17">
        <v>-62.4</v>
      </c>
      <c r="O205" s="17">
        <v>-76.3</v>
      </c>
    </row>
    <row r="206" spans="1:15" x14ac:dyDescent="0.15">
      <c r="B206" s="51" t="s">
        <v>250</v>
      </c>
      <c r="C206" s="51"/>
      <c r="D206" s="17">
        <v>-14.1</v>
      </c>
      <c r="E206" s="17">
        <v>-22.5</v>
      </c>
      <c r="F206" s="17">
        <v>-20.8</v>
      </c>
      <c r="G206" s="17">
        <v>-19.7</v>
      </c>
      <c r="H206" s="17">
        <v>-18.3</v>
      </c>
      <c r="I206" s="17">
        <v>-16.3</v>
      </c>
      <c r="J206" s="17">
        <v>-14.1</v>
      </c>
      <c r="K206" s="17">
        <v>-11.9</v>
      </c>
      <c r="L206" s="17">
        <v>-9.5</v>
      </c>
      <c r="M206" s="17">
        <v>-7</v>
      </c>
      <c r="N206" s="17">
        <v>-95.4</v>
      </c>
      <c r="O206" s="17">
        <v>-154.19999999999999</v>
      </c>
    </row>
    <row r="209" spans="1:15" x14ac:dyDescent="0.15">
      <c r="A209" s="51" t="s">
        <v>225</v>
      </c>
      <c r="B209" s="51"/>
      <c r="C209" s="51"/>
    </row>
    <row r="210" spans="1:15" x14ac:dyDescent="0.15">
      <c r="A210" s="51" t="s">
        <v>24</v>
      </c>
      <c r="B210" s="51"/>
      <c r="C210" s="51"/>
    </row>
    <row r="211" spans="1:15" x14ac:dyDescent="0.15">
      <c r="A211" s="61" t="str">
        <f ca="1">HYPERLINK("#"&amp;CELL("address", Contents!A92), "Back to Table of Contents")</f>
        <v>Back to Table of Contents</v>
      </c>
      <c r="B211" s="61"/>
      <c r="C211" s="61"/>
    </row>
    <row r="213" spans="1:15" x14ac:dyDescent="0.15">
      <c r="A213" s="65" t="s">
        <v>161</v>
      </c>
      <c r="B213" s="65"/>
    </row>
    <row r="214" spans="1:15" x14ac:dyDescent="0.15">
      <c r="A214" s="65" t="s">
        <v>251</v>
      </c>
      <c r="B214" s="65"/>
      <c r="C214" s="65"/>
    </row>
    <row r="216" spans="1:15" x14ac:dyDescent="0.15">
      <c r="A216" s="51" t="s">
        <v>2</v>
      </c>
      <c r="B216" s="51"/>
      <c r="D216" s="13">
        <v>2023</v>
      </c>
      <c r="E216" s="13">
        <v>2024</v>
      </c>
      <c r="F216" s="13">
        <v>2025</v>
      </c>
      <c r="G216" s="13">
        <v>2026</v>
      </c>
      <c r="H216" s="13">
        <v>2027</v>
      </c>
      <c r="I216" s="13">
        <v>2028</v>
      </c>
      <c r="J216" s="13">
        <v>2029</v>
      </c>
      <c r="K216" s="13">
        <v>2030</v>
      </c>
      <c r="L216" s="13">
        <v>2031</v>
      </c>
      <c r="M216" s="13">
        <v>2032</v>
      </c>
      <c r="N216" s="13" t="s">
        <v>3</v>
      </c>
      <c r="O216" s="13" t="s">
        <v>4</v>
      </c>
    </row>
    <row r="218" spans="1:15" x14ac:dyDescent="0.15">
      <c r="A218" s="51" t="s">
        <v>117</v>
      </c>
      <c r="B218" s="51"/>
      <c r="C218" s="51"/>
      <c r="D218" s="17">
        <v>-0.2</v>
      </c>
      <c r="E218" s="17">
        <v>-0.9</v>
      </c>
      <c r="F218" s="17">
        <v>-2.2999999999999998</v>
      </c>
      <c r="G218" s="17">
        <v>-4.2</v>
      </c>
      <c r="H218" s="17">
        <v>-6.1</v>
      </c>
      <c r="I218" s="17">
        <v>-8.1999999999999904</v>
      </c>
      <c r="J218" s="17">
        <v>-10.3</v>
      </c>
      <c r="K218" s="17">
        <v>-12.6</v>
      </c>
      <c r="L218" s="17">
        <v>-14.9</v>
      </c>
      <c r="M218" s="17">
        <v>-17.100000000000001</v>
      </c>
      <c r="N218" s="17">
        <v>-13.7</v>
      </c>
      <c r="O218" s="17">
        <v>-76.8</v>
      </c>
    </row>
    <row r="221" spans="1:15" x14ac:dyDescent="0.15">
      <c r="A221" s="51" t="s">
        <v>225</v>
      </c>
      <c r="B221" s="51"/>
      <c r="C221" s="51"/>
    </row>
    <row r="222" spans="1:15" x14ac:dyDescent="0.15">
      <c r="A222" s="51" t="s">
        <v>24</v>
      </c>
      <c r="B222" s="51"/>
      <c r="C222" s="51"/>
    </row>
    <row r="223" spans="1:15" x14ac:dyDescent="0.15">
      <c r="A223" s="61" t="str">
        <f ca="1">HYPERLINK("#"&amp;CELL("address", Contents!A93), "Back to Table of Contents")</f>
        <v>Back to Table of Contents</v>
      </c>
      <c r="B223" s="61"/>
      <c r="C223" s="61"/>
    </row>
    <row r="225" spans="1:15" x14ac:dyDescent="0.15">
      <c r="A225" s="65" t="s">
        <v>162</v>
      </c>
      <c r="B225" s="65"/>
    </row>
    <row r="226" spans="1:15" x14ac:dyDescent="0.15">
      <c r="A226" s="65" t="s">
        <v>252</v>
      </c>
      <c r="B226" s="65"/>
      <c r="C226" s="65"/>
    </row>
    <row r="228" spans="1:15" x14ac:dyDescent="0.15">
      <c r="A228" s="51" t="s">
        <v>2</v>
      </c>
      <c r="B228" s="51"/>
      <c r="C228" s="24"/>
      <c r="D228" s="13">
        <v>2023</v>
      </c>
      <c r="E228" s="13">
        <v>2024</v>
      </c>
      <c r="F228" s="13">
        <v>2025</v>
      </c>
      <c r="G228" s="13">
        <v>2026</v>
      </c>
      <c r="H228" s="13">
        <v>2027</v>
      </c>
      <c r="I228" s="13">
        <v>2028</v>
      </c>
      <c r="J228" s="13">
        <v>2029</v>
      </c>
      <c r="K228" s="13">
        <v>2030</v>
      </c>
      <c r="L228" s="13">
        <v>2031</v>
      </c>
      <c r="M228" s="13">
        <v>2032</v>
      </c>
      <c r="N228" s="13" t="s">
        <v>3</v>
      </c>
      <c r="O228" s="13" t="s">
        <v>4</v>
      </c>
    </row>
    <row r="230" spans="1:15" x14ac:dyDescent="0.15">
      <c r="A230" s="51" t="s">
        <v>117</v>
      </c>
      <c r="B230" s="51"/>
      <c r="C230" s="51"/>
    </row>
    <row r="231" spans="1:15" x14ac:dyDescent="0.15">
      <c r="B231" s="51" t="s">
        <v>253</v>
      </c>
      <c r="C231" s="51"/>
      <c r="D231" s="17">
        <v>-6.6</v>
      </c>
      <c r="E231" s="17">
        <v>-8.9</v>
      </c>
      <c r="F231" s="17">
        <v>-9.1999999999999904</v>
      </c>
      <c r="G231" s="17">
        <v>-9.1999999999999904</v>
      </c>
      <c r="H231" s="17">
        <v>-9.4</v>
      </c>
      <c r="I231" s="17">
        <v>-9.5</v>
      </c>
      <c r="J231" s="17">
        <v>-9.6</v>
      </c>
      <c r="K231" s="17">
        <v>-9.6999999999999904</v>
      </c>
      <c r="L231" s="17">
        <v>-9.8000000000000007</v>
      </c>
      <c r="M231" s="17">
        <v>-9.9</v>
      </c>
      <c r="N231" s="17">
        <v>-43.3</v>
      </c>
      <c r="O231" s="17">
        <v>-91.8</v>
      </c>
    </row>
    <row r="232" spans="1:15" x14ac:dyDescent="0.15">
      <c r="B232" s="51" t="s">
        <v>254</v>
      </c>
      <c r="C232" s="51"/>
      <c r="D232" s="17">
        <v>-6.6</v>
      </c>
      <c r="E232" s="17">
        <v>-9.6</v>
      </c>
      <c r="F232" s="17">
        <v>-10.5</v>
      </c>
      <c r="G232" s="17">
        <v>-10.9</v>
      </c>
      <c r="H232" s="17">
        <v>-11.4</v>
      </c>
      <c r="I232" s="17">
        <v>-12</v>
      </c>
      <c r="J232" s="17">
        <v>-12.5</v>
      </c>
      <c r="K232" s="17">
        <v>-13</v>
      </c>
      <c r="L232" s="17">
        <v>-13.5</v>
      </c>
      <c r="M232" s="17">
        <v>-14.1</v>
      </c>
      <c r="N232" s="17">
        <v>-49</v>
      </c>
      <c r="O232" s="17">
        <v>-114.1</v>
      </c>
    </row>
    <row r="235" spans="1:15" x14ac:dyDescent="0.15">
      <c r="A235" s="51" t="s">
        <v>225</v>
      </c>
      <c r="B235" s="51"/>
      <c r="C235" s="51"/>
    </row>
    <row r="236" spans="1:15" x14ac:dyDescent="0.15">
      <c r="A236" s="51" t="s">
        <v>24</v>
      </c>
      <c r="B236" s="51"/>
      <c r="C236" s="51"/>
    </row>
    <row r="237" spans="1:15" x14ac:dyDescent="0.15">
      <c r="A237" s="51" t="s">
        <v>244</v>
      </c>
      <c r="B237" s="51"/>
      <c r="C237" s="51"/>
    </row>
    <row r="238" spans="1:15" x14ac:dyDescent="0.15">
      <c r="A238" s="61" t="str">
        <f ca="1">HYPERLINK("#"&amp;CELL("address", Contents!A94), "Back to Table of Contents")</f>
        <v>Back to Table of Contents</v>
      </c>
      <c r="B238" s="61"/>
      <c r="C238" s="61"/>
    </row>
    <row r="240" spans="1:15" x14ac:dyDescent="0.15">
      <c r="A240" s="65" t="s">
        <v>163</v>
      </c>
      <c r="B240" s="65"/>
    </row>
    <row r="241" spans="1:15" x14ac:dyDescent="0.15">
      <c r="A241" s="65" t="s">
        <v>255</v>
      </c>
      <c r="B241" s="65"/>
      <c r="C241" s="65"/>
      <c r="O241" s="18" t="s">
        <v>171</v>
      </c>
    </row>
    <row r="243" spans="1:15" x14ac:dyDescent="0.15">
      <c r="A243" s="51" t="s">
        <v>2</v>
      </c>
      <c r="B243" s="51"/>
      <c r="D243" s="13">
        <v>2023</v>
      </c>
      <c r="E243" s="13">
        <v>2024</v>
      </c>
      <c r="F243" s="13">
        <v>2025</v>
      </c>
      <c r="G243" s="13">
        <v>2026</v>
      </c>
      <c r="H243" s="13">
        <v>2027</v>
      </c>
      <c r="I243" s="13">
        <v>2028</v>
      </c>
      <c r="J243" s="13">
        <v>2029</v>
      </c>
      <c r="K243" s="13">
        <v>2030</v>
      </c>
      <c r="L243" s="13">
        <v>2031</v>
      </c>
      <c r="M243" s="13">
        <v>2032</v>
      </c>
      <c r="N243" s="13" t="s">
        <v>3</v>
      </c>
      <c r="O243" s="13" t="s">
        <v>4</v>
      </c>
    </row>
    <row r="245" spans="1:15" x14ac:dyDescent="0.15">
      <c r="A245" s="51" t="s">
        <v>5</v>
      </c>
      <c r="B245" s="51"/>
      <c r="D245" s="17" t="s">
        <v>33</v>
      </c>
      <c r="E245" s="17" t="s">
        <v>33</v>
      </c>
      <c r="F245" s="17">
        <v>-0.1</v>
      </c>
      <c r="G245" s="17">
        <v>-0.1</v>
      </c>
      <c r="H245" s="17">
        <v>-0.1</v>
      </c>
      <c r="I245" s="17">
        <v>-0.1</v>
      </c>
      <c r="J245" s="17">
        <v>-0.1</v>
      </c>
      <c r="K245" s="17">
        <v>-0.1</v>
      </c>
      <c r="L245" s="17">
        <v>-0.1</v>
      </c>
      <c r="M245" s="17">
        <v>-0.1</v>
      </c>
      <c r="N245" s="17">
        <v>-0.3</v>
      </c>
      <c r="O245" s="17">
        <v>-0.9</v>
      </c>
    </row>
    <row r="246" spans="1:15" x14ac:dyDescent="0.15">
      <c r="A246" s="51" t="s">
        <v>256</v>
      </c>
      <c r="B246" s="51"/>
      <c r="C246" s="51"/>
      <c r="D246" s="17">
        <v>3.1</v>
      </c>
      <c r="E246" s="17">
        <v>4.0999999999999996</v>
      </c>
      <c r="F246" s="17">
        <v>4.0999999999999996</v>
      </c>
      <c r="G246" s="17">
        <v>4.0999999999999996</v>
      </c>
      <c r="H246" s="17">
        <v>4.0999999999999996</v>
      </c>
      <c r="I246" s="17">
        <v>4.2</v>
      </c>
      <c r="J246" s="17">
        <v>4.3</v>
      </c>
      <c r="K246" s="17">
        <v>4.4000000000000004</v>
      </c>
      <c r="L246" s="17">
        <v>4.4000000000000004</v>
      </c>
      <c r="M246" s="17">
        <v>4.5</v>
      </c>
      <c r="N246" s="17">
        <v>19.600000000000001</v>
      </c>
      <c r="O246" s="17">
        <v>41.4</v>
      </c>
    </row>
    <row r="247" spans="1:15" x14ac:dyDescent="0.15">
      <c r="B247" s="51" t="s">
        <v>117</v>
      </c>
      <c r="C247" s="51"/>
      <c r="D247" s="17">
        <v>-3.1</v>
      </c>
      <c r="E247" s="17">
        <v>-4.2</v>
      </c>
      <c r="F247" s="17">
        <v>-4.2</v>
      </c>
      <c r="G247" s="17">
        <v>-4.2</v>
      </c>
      <c r="H247" s="17">
        <v>-4.3</v>
      </c>
      <c r="I247" s="17">
        <v>-4.3</v>
      </c>
      <c r="J247" s="17">
        <v>-4.4000000000000004</v>
      </c>
      <c r="K247" s="17">
        <v>-4.5</v>
      </c>
      <c r="L247" s="17">
        <v>-4.5999999999999996</v>
      </c>
      <c r="M247" s="17">
        <v>-4.5999999999999996</v>
      </c>
      <c r="N247" s="17">
        <v>-19.899999999999999</v>
      </c>
      <c r="O247" s="17">
        <v>-42.3</v>
      </c>
    </row>
    <row r="250" spans="1:15" x14ac:dyDescent="0.15">
      <c r="A250" s="51" t="s">
        <v>257</v>
      </c>
      <c r="B250" s="51"/>
      <c r="C250" s="51"/>
    </row>
    <row r="251" spans="1:15" x14ac:dyDescent="0.15">
      <c r="A251" s="51" t="s">
        <v>24</v>
      </c>
      <c r="B251" s="51"/>
      <c r="C251" s="51"/>
    </row>
    <row r="252" spans="1:15" x14ac:dyDescent="0.15">
      <c r="A252" s="51" t="s">
        <v>244</v>
      </c>
      <c r="B252" s="51"/>
      <c r="C252" s="51"/>
    </row>
    <row r="253" spans="1:15" x14ac:dyDescent="0.15">
      <c r="A253" s="51" t="s">
        <v>36</v>
      </c>
      <c r="B253" s="51"/>
      <c r="C253" s="51"/>
    </row>
    <row r="254" spans="1:15" x14ac:dyDescent="0.15">
      <c r="A254" s="61" t="str">
        <f ca="1">HYPERLINK("#"&amp;CELL("address", Contents!A95), "Back to Table of Contents")</f>
        <v>Back to Table of Contents</v>
      </c>
      <c r="B254" s="61"/>
      <c r="C254" s="61"/>
    </row>
    <row r="256" spans="1:15" x14ac:dyDescent="0.15">
      <c r="A256" s="65" t="s">
        <v>164</v>
      </c>
      <c r="B256" s="65"/>
    </row>
    <row r="257" spans="1:15" x14ac:dyDescent="0.15">
      <c r="A257" s="65" t="s">
        <v>258</v>
      </c>
      <c r="B257" s="65"/>
      <c r="C257" s="65"/>
    </row>
    <row r="259" spans="1:15" x14ac:dyDescent="0.15">
      <c r="A259" s="51" t="s">
        <v>2</v>
      </c>
      <c r="B259" s="51"/>
      <c r="C259" s="51"/>
      <c r="D259" s="13">
        <v>2023</v>
      </c>
      <c r="E259" s="13">
        <v>2024</v>
      </c>
      <c r="F259" s="13">
        <v>2025</v>
      </c>
      <c r="G259" s="13">
        <v>2026</v>
      </c>
      <c r="H259" s="13">
        <v>2027</v>
      </c>
      <c r="I259" s="13">
        <v>2028</v>
      </c>
      <c r="J259" s="13">
        <v>2029</v>
      </c>
      <c r="K259" s="13">
        <v>2030</v>
      </c>
      <c r="L259" s="13">
        <v>2031</v>
      </c>
      <c r="M259" s="13">
        <v>2032</v>
      </c>
      <c r="N259" s="13" t="s">
        <v>3</v>
      </c>
      <c r="O259" s="13" t="s">
        <v>4</v>
      </c>
    </row>
    <row r="261" spans="1:15" x14ac:dyDescent="0.15">
      <c r="A261" s="51" t="s">
        <v>117</v>
      </c>
      <c r="B261" s="51"/>
      <c r="C261" s="51"/>
      <c r="D261" s="17">
        <v>-14.9</v>
      </c>
      <c r="E261" s="17">
        <v>-21.8</v>
      </c>
      <c r="F261" s="17">
        <v>-22.8</v>
      </c>
      <c r="G261" s="17">
        <v>-23.2</v>
      </c>
      <c r="H261" s="17">
        <v>-23.9</v>
      </c>
      <c r="I261" s="17">
        <v>-24.8</v>
      </c>
      <c r="J261" s="17">
        <v>-25.8</v>
      </c>
      <c r="K261" s="17">
        <v>-26.7</v>
      </c>
      <c r="L261" s="17">
        <v>-27.7</v>
      </c>
      <c r="M261" s="17">
        <v>-28.6</v>
      </c>
      <c r="N261" s="17">
        <v>-106.6</v>
      </c>
      <c r="O261" s="17">
        <v>-240.1</v>
      </c>
    </row>
    <row r="264" spans="1:15" x14ac:dyDescent="0.15">
      <c r="A264" s="51" t="s">
        <v>225</v>
      </c>
      <c r="B264" s="51"/>
      <c r="C264" s="51"/>
    </row>
    <row r="265" spans="1:15" x14ac:dyDescent="0.15">
      <c r="A265" s="51" t="s">
        <v>24</v>
      </c>
      <c r="B265" s="51"/>
      <c r="C265" s="51"/>
    </row>
    <row r="266" spans="1:15" x14ac:dyDescent="0.15">
      <c r="A266" s="51" t="s">
        <v>244</v>
      </c>
      <c r="B266" s="51"/>
      <c r="C266" s="51"/>
    </row>
    <row r="267" spans="1:15" x14ac:dyDescent="0.15">
      <c r="A267" s="61" t="str">
        <f ca="1">HYPERLINK("#"&amp;CELL("address", Contents!A96), "Back to Table of Contents")</f>
        <v>Back to Table of Contents</v>
      </c>
      <c r="B267" s="61"/>
      <c r="C267" s="61"/>
    </row>
    <row r="269" spans="1:15" x14ac:dyDescent="0.15">
      <c r="A269" s="65" t="s">
        <v>165</v>
      </c>
      <c r="B269" s="65"/>
    </row>
    <row r="270" spans="1:15" x14ac:dyDescent="0.15">
      <c r="A270" s="65" t="s">
        <v>259</v>
      </c>
      <c r="B270" s="65"/>
      <c r="C270" s="65"/>
    </row>
    <row r="272" spans="1:15" x14ac:dyDescent="0.15">
      <c r="A272" s="51" t="s">
        <v>2</v>
      </c>
      <c r="B272" s="51"/>
      <c r="D272" s="13">
        <v>2023</v>
      </c>
      <c r="E272" s="13">
        <v>2024</v>
      </c>
      <c r="F272" s="13">
        <v>2025</v>
      </c>
      <c r="G272" s="13">
        <v>2026</v>
      </c>
      <c r="H272" s="13">
        <v>2027</v>
      </c>
      <c r="I272" s="13">
        <v>2028</v>
      </c>
      <c r="J272" s="13">
        <v>2029</v>
      </c>
      <c r="K272" s="13">
        <v>2030</v>
      </c>
      <c r="L272" s="13">
        <v>2031</v>
      </c>
      <c r="M272" s="13">
        <v>2032</v>
      </c>
      <c r="N272" s="13" t="s">
        <v>3</v>
      </c>
      <c r="O272" s="13" t="s">
        <v>4</v>
      </c>
    </row>
    <row r="274" spans="1:15" x14ac:dyDescent="0.15">
      <c r="A274" s="51" t="s">
        <v>260</v>
      </c>
      <c r="B274" s="51"/>
      <c r="C274" s="51"/>
      <c r="D274" s="17">
        <v>10.9</v>
      </c>
      <c r="E274" s="17">
        <v>-9.1999999999999904</v>
      </c>
      <c r="F274" s="17">
        <v>-23.2</v>
      </c>
      <c r="G274" s="17">
        <v>-29.5</v>
      </c>
      <c r="H274" s="17">
        <v>-31.9</v>
      </c>
      <c r="I274" s="17">
        <v>-33.299999999999997</v>
      </c>
      <c r="J274" s="17">
        <v>-34.700000000000003</v>
      </c>
      <c r="K274" s="17">
        <v>-36.1</v>
      </c>
      <c r="L274" s="17">
        <v>-37.5</v>
      </c>
      <c r="M274" s="17">
        <v>-39</v>
      </c>
      <c r="N274" s="17">
        <v>-82.9</v>
      </c>
      <c r="O274" s="17">
        <v>-263.7</v>
      </c>
    </row>
    <row r="277" spans="1:15" x14ac:dyDescent="0.15">
      <c r="A277" s="51" t="s">
        <v>225</v>
      </c>
      <c r="B277" s="51"/>
      <c r="C277" s="51"/>
    </row>
    <row r="278" spans="1:15" x14ac:dyDescent="0.15">
      <c r="A278" s="51" t="s">
        <v>261</v>
      </c>
      <c r="B278" s="51"/>
      <c r="C278" s="51"/>
      <c r="D278" s="51"/>
      <c r="E278" s="51"/>
      <c r="F278" s="51"/>
      <c r="G278" s="51"/>
      <c r="H278" s="51"/>
      <c r="I278" s="51"/>
    </row>
    <row r="279" spans="1:15" x14ac:dyDescent="0.15">
      <c r="A279" s="51" t="s">
        <v>244</v>
      </c>
      <c r="B279" s="51"/>
      <c r="C279" s="51"/>
    </row>
    <row r="280" spans="1:15" x14ac:dyDescent="0.15">
      <c r="A280" s="61" t="str">
        <f ca="1">HYPERLINK("#"&amp;CELL("address", Contents!A97), "Back to Table of Contents")</f>
        <v>Back to Table of Contents</v>
      </c>
      <c r="B280" s="61"/>
      <c r="C280" s="61"/>
    </row>
    <row r="282" spans="1:15" x14ac:dyDescent="0.15">
      <c r="A282" s="65" t="s">
        <v>166</v>
      </c>
      <c r="B282" s="65"/>
    </row>
    <row r="283" spans="1:15" x14ac:dyDescent="0.15">
      <c r="A283" s="65" t="s">
        <v>262</v>
      </c>
      <c r="B283" s="65"/>
      <c r="C283" s="65"/>
      <c r="D283" s="65"/>
      <c r="E283" s="65"/>
      <c r="F283" s="65"/>
    </row>
    <row r="285" spans="1:15" x14ac:dyDescent="0.15">
      <c r="A285" s="51" t="s">
        <v>2</v>
      </c>
      <c r="B285" s="51"/>
      <c r="D285" s="13">
        <v>2023</v>
      </c>
      <c r="E285" s="13">
        <v>2024</v>
      </c>
      <c r="F285" s="13">
        <v>2025</v>
      </c>
      <c r="G285" s="13">
        <v>2026</v>
      </c>
      <c r="H285" s="13">
        <v>2027</v>
      </c>
      <c r="I285" s="13">
        <v>2028</v>
      </c>
      <c r="J285" s="13">
        <v>2029</v>
      </c>
      <c r="K285" s="13">
        <v>2030</v>
      </c>
      <c r="L285" s="13">
        <v>2031</v>
      </c>
      <c r="M285" s="13">
        <v>2032</v>
      </c>
      <c r="N285" s="13" t="s">
        <v>3</v>
      </c>
      <c r="O285" s="13" t="s">
        <v>4</v>
      </c>
    </row>
    <row r="287" spans="1:15" x14ac:dyDescent="0.15">
      <c r="A287" s="51" t="s">
        <v>117</v>
      </c>
      <c r="B287" s="51"/>
      <c r="C287" s="51"/>
    </row>
    <row r="288" spans="1:15" x14ac:dyDescent="0.15">
      <c r="B288" s="51" t="s">
        <v>263</v>
      </c>
      <c r="C288" s="51"/>
      <c r="D288" s="13">
        <v>0</v>
      </c>
      <c r="E288" s="17">
        <v>-0.2</v>
      </c>
      <c r="F288" s="17">
        <v>-0.6</v>
      </c>
      <c r="G288" s="17">
        <v>-0.6</v>
      </c>
      <c r="H288" s="17">
        <v>-0.6</v>
      </c>
      <c r="I288" s="17">
        <v>-0.6</v>
      </c>
      <c r="J288" s="17">
        <v>-0.6</v>
      </c>
      <c r="K288" s="17">
        <v>-0.6</v>
      </c>
      <c r="L288" s="17">
        <v>-0.6</v>
      </c>
      <c r="M288" s="17">
        <v>-0.6</v>
      </c>
      <c r="N288" s="17">
        <v>-2.1</v>
      </c>
      <c r="O288" s="17">
        <v>-5.2</v>
      </c>
    </row>
    <row r="289" spans="1:15" ht="15" x14ac:dyDescent="0.15">
      <c r="B289" s="51" t="s">
        <v>351</v>
      </c>
      <c r="C289" s="51"/>
      <c r="D289" s="30" t="s">
        <v>51</v>
      </c>
      <c r="E289" s="19" t="s">
        <v>11</v>
      </c>
      <c r="F289" s="19" t="s">
        <v>112</v>
      </c>
      <c r="G289" s="19" t="s">
        <v>115</v>
      </c>
      <c r="H289" s="19" t="s">
        <v>115</v>
      </c>
      <c r="I289" s="19" t="s">
        <v>115</v>
      </c>
      <c r="J289" s="19" t="s">
        <v>115</v>
      </c>
      <c r="K289" s="19" t="s">
        <v>12</v>
      </c>
      <c r="L289" s="19" t="s">
        <v>12</v>
      </c>
      <c r="M289" s="19" t="s">
        <v>264</v>
      </c>
      <c r="N289" s="19" t="s">
        <v>265</v>
      </c>
      <c r="O289" s="19" t="s">
        <v>266</v>
      </c>
    </row>
    <row r="290" spans="1:15" x14ac:dyDescent="0.15">
      <c r="C290" s="26" t="s">
        <v>15</v>
      </c>
      <c r="D290" s="13">
        <v>0</v>
      </c>
      <c r="E290" s="17">
        <v>-0.4</v>
      </c>
      <c r="F290" s="17">
        <v>-1.3</v>
      </c>
      <c r="G290" s="17">
        <v>-1.3</v>
      </c>
      <c r="H290" s="17">
        <v>-1.3</v>
      </c>
      <c r="I290" s="17">
        <v>-1.3</v>
      </c>
      <c r="J290" s="17">
        <v>-1.4</v>
      </c>
      <c r="K290" s="17">
        <v>-1.4</v>
      </c>
      <c r="L290" s="17">
        <v>-1.5</v>
      </c>
      <c r="M290" s="17">
        <v>-0.8</v>
      </c>
      <c r="N290" s="17">
        <v>-4.2</v>
      </c>
      <c r="O290" s="17">
        <v>-10.6</v>
      </c>
    </row>
    <row r="293" spans="1:15" x14ac:dyDescent="0.15">
      <c r="A293" s="51" t="s">
        <v>6</v>
      </c>
      <c r="B293" s="51"/>
      <c r="C293" s="51"/>
    </row>
    <row r="294" spans="1:15" x14ac:dyDescent="0.15">
      <c r="A294" s="51" t="s">
        <v>244</v>
      </c>
      <c r="B294" s="51"/>
      <c r="C294" s="51"/>
    </row>
    <row r="295" spans="1:15" x14ac:dyDescent="0.15">
      <c r="A295" s="51" t="s">
        <v>267</v>
      </c>
      <c r="B295" s="51"/>
      <c r="C295" s="51"/>
    </row>
    <row r="296" spans="1:15" x14ac:dyDescent="0.15">
      <c r="A296" s="64" t="s">
        <v>268</v>
      </c>
      <c r="B296" s="64"/>
      <c r="C296" s="64"/>
      <c r="D296" s="64"/>
      <c r="E296" s="64"/>
      <c r="F296" s="64"/>
      <c r="G296" s="64"/>
      <c r="H296" s="64"/>
      <c r="I296" s="64"/>
      <c r="J296" s="64"/>
      <c r="K296" s="64"/>
      <c r="L296" s="64"/>
      <c r="M296" s="64"/>
      <c r="N296" s="64"/>
      <c r="O296" s="64"/>
    </row>
    <row r="297" spans="1:15" x14ac:dyDescent="0.15">
      <c r="A297" s="64"/>
      <c r="B297" s="64"/>
      <c r="C297" s="64"/>
      <c r="D297" s="64"/>
      <c r="E297" s="64"/>
      <c r="F297" s="64"/>
      <c r="G297" s="64"/>
      <c r="H297" s="64"/>
      <c r="I297" s="64"/>
      <c r="J297" s="64"/>
      <c r="K297" s="64"/>
      <c r="L297" s="64"/>
      <c r="M297" s="64"/>
      <c r="N297" s="64"/>
      <c r="O297" s="64"/>
    </row>
    <row r="298" spans="1:15" x14ac:dyDescent="0.15">
      <c r="A298" s="10" t="str">
        <f ca="1">HYPERLINK("#"&amp;CELL("address", Contents!A98), "Back to Table of Contents")</f>
        <v>Back to Table of Contents</v>
      </c>
    </row>
    <row r="300" spans="1:15" x14ac:dyDescent="0.15">
      <c r="A300" s="65" t="s">
        <v>167</v>
      </c>
      <c r="B300" s="65"/>
    </row>
    <row r="301" spans="1:15" x14ac:dyDescent="0.15">
      <c r="A301" s="65" t="s">
        <v>269</v>
      </c>
      <c r="B301" s="65"/>
      <c r="C301" s="65"/>
    </row>
    <row r="303" spans="1:15" x14ac:dyDescent="0.15">
      <c r="A303" s="51" t="s">
        <v>2</v>
      </c>
      <c r="B303" s="51"/>
      <c r="D303" s="13">
        <v>2023</v>
      </c>
      <c r="E303" s="13">
        <v>2024</v>
      </c>
      <c r="F303" s="13">
        <v>2025</v>
      </c>
      <c r="G303" s="13">
        <v>2026</v>
      </c>
      <c r="H303" s="13">
        <v>2027</v>
      </c>
      <c r="I303" s="13">
        <v>2028</v>
      </c>
      <c r="J303" s="13">
        <v>2029</v>
      </c>
      <c r="K303" s="13">
        <v>2030</v>
      </c>
      <c r="L303" s="13">
        <v>2031</v>
      </c>
      <c r="M303" s="13">
        <v>2032</v>
      </c>
      <c r="N303" s="13" t="s">
        <v>3</v>
      </c>
      <c r="O303" s="13" t="s">
        <v>4</v>
      </c>
    </row>
    <row r="305" spans="1:15" x14ac:dyDescent="0.15">
      <c r="A305" s="51" t="s">
        <v>117</v>
      </c>
      <c r="B305" s="51"/>
      <c r="C305" s="51"/>
      <c r="D305" s="17">
        <v>-1.4</v>
      </c>
      <c r="E305" s="17">
        <v>-2.8</v>
      </c>
      <c r="F305" s="17">
        <v>-4.0999999999999996</v>
      </c>
      <c r="G305" s="17">
        <v>-5.4</v>
      </c>
      <c r="H305" s="17">
        <v>-5.3</v>
      </c>
      <c r="I305" s="17">
        <v>-5.2</v>
      </c>
      <c r="J305" s="17">
        <v>-5.0999999999999996</v>
      </c>
      <c r="K305" s="17">
        <v>-5</v>
      </c>
      <c r="L305" s="17">
        <v>-4.9000000000000004</v>
      </c>
      <c r="M305" s="17">
        <v>-4.7</v>
      </c>
      <c r="N305" s="17">
        <v>-18.899999999999999</v>
      </c>
      <c r="O305" s="17">
        <v>-43.8</v>
      </c>
    </row>
    <row r="308" spans="1:15" x14ac:dyDescent="0.15">
      <c r="A308" s="51" t="s">
        <v>24</v>
      </c>
      <c r="B308" s="51"/>
      <c r="C308" s="51"/>
    </row>
    <row r="309" spans="1:15" x14ac:dyDescent="0.15">
      <c r="A309" s="61" t="str">
        <f ca="1">HYPERLINK("#"&amp;CELL("address", Contents!A99), "Back to Table of Contents")</f>
        <v>Back to Table of Contents</v>
      </c>
      <c r="B309" s="61"/>
      <c r="C309" s="61"/>
    </row>
  </sheetData>
  <mergeCells count="187">
    <mergeCell ref="A4:C4"/>
    <mergeCell ref="A6:B6"/>
    <mergeCell ref="A16:C16"/>
    <mergeCell ref="A15:C15"/>
    <mergeCell ref="A14:C14"/>
    <mergeCell ref="A11:C11"/>
    <mergeCell ref="A9:B9"/>
    <mergeCell ref="A7:C7"/>
    <mergeCell ref="A1:O1"/>
    <mergeCell ref="A2:O2"/>
    <mergeCell ref="A21:B21"/>
    <mergeCell ref="A19:C19"/>
    <mergeCell ref="A18:B18"/>
    <mergeCell ref="A44:C44"/>
    <mergeCell ref="A43:C43"/>
    <mergeCell ref="A42:C42"/>
    <mergeCell ref="A30:C30"/>
    <mergeCell ref="A29:C29"/>
    <mergeCell ref="A28:C28"/>
    <mergeCell ref="B25:C25"/>
    <mergeCell ref="B24:C24"/>
    <mergeCell ref="A23:B23"/>
    <mergeCell ref="B39:C39"/>
    <mergeCell ref="B38:C38"/>
    <mergeCell ref="A37:C37"/>
    <mergeCell ref="A35:B35"/>
    <mergeCell ref="A33:C33"/>
    <mergeCell ref="A32:B32"/>
    <mergeCell ref="A49:B49"/>
    <mergeCell ref="A47:C47"/>
    <mergeCell ref="A46:B46"/>
    <mergeCell ref="A61:B61"/>
    <mergeCell ref="A68:E68"/>
    <mergeCell ref="A67:C67"/>
    <mergeCell ref="A66:C66"/>
    <mergeCell ref="A63:C63"/>
    <mergeCell ref="A59:C59"/>
    <mergeCell ref="A58:B58"/>
    <mergeCell ref="A56:C56"/>
    <mergeCell ref="A55:C55"/>
    <mergeCell ref="A54:C54"/>
    <mergeCell ref="A51:C51"/>
    <mergeCell ref="A72:H72"/>
    <mergeCell ref="A88:C88"/>
    <mergeCell ref="A86:B86"/>
    <mergeCell ref="A84:C84"/>
    <mergeCell ref="A83:B83"/>
    <mergeCell ref="A69:C69"/>
    <mergeCell ref="A71:B71"/>
    <mergeCell ref="A116:C116"/>
    <mergeCell ref="A115:C115"/>
    <mergeCell ref="A112:C112"/>
    <mergeCell ref="A110:B110"/>
    <mergeCell ref="A108:C108"/>
    <mergeCell ref="A107:B107"/>
    <mergeCell ref="A100:C100"/>
    <mergeCell ref="A98:B98"/>
    <mergeCell ref="A81:C81"/>
    <mergeCell ref="A80:C80"/>
    <mergeCell ref="A79:C79"/>
    <mergeCell ref="A76:C76"/>
    <mergeCell ref="A74:B74"/>
    <mergeCell ref="A91:C91"/>
    <mergeCell ref="A96:C96"/>
    <mergeCell ref="A95:B95"/>
    <mergeCell ref="A105:C105"/>
    <mergeCell ref="A104:C104"/>
    <mergeCell ref="A103:C103"/>
    <mergeCell ref="A132:C132"/>
    <mergeCell ref="A131:K131"/>
    <mergeCell ref="A130:C130"/>
    <mergeCell ref="A129:C129"/>
    <mergeCell ref="A126:C126"/>
    <mergeCell ref="A124:B124"/>
    <mergeCell ref="A92:C92"/>
    <mergeCell ref="A93:C93"/>
    <mergeCell ref="A117:O118"/>
    <mergeCell ref="A119:C119"/>
    <mergeCell ref="A121:B121"/>
    <mergeCell ref="A122:C122"/>
    <mergeCell ref="A152:C152"/>
    <mergeCell ref="A150:B150"/>
    <mergeCell ref="A148:H148"/>
    <mergeCell ref="A135:H135"/>
    <mergeCell ref="A134:B134"/>
    <mergeCell ref="A145:C145"/>
    <mergeCell ref="A144:C144"/>
    <mergeCell ref="A143:C143"/>
    <mergeCell ref="A142:C142"/>
    <mergeCell ref="A139:C139"/>
    <mergeCell ref="A137:B137"/>
    <mergeCell ref="A147:B147"/>
    <mergeCell ref="A159:B159"/>
    <mergeCell ref="A160:C160"/>
    <mergeCell ref="A162:B162"/>
    <mergeCell ref="A164:C164"/>
    <mergeCell ref="A167:C167"/>
    <mergeCell ref="A168:C168"/>
    <mergeCell ref="A157:C157"/>
    <mergeCell ref="A156:C156"/>
    <mergeCell ref="A155:C155"/>
    <mergeCell ref="A179:C179"/>
    <mergeCell ref="A184:C184"/>
    <mergeCell ref="A183:C183"/>
    <mergeCell ref="A182:C182"/>
    <mergeCell ref="A186:B186"/>
    <mergeCell ref="A187:J187"/>
    <mergeCell ref="A169:C169"/>
    <mergeCell ref="A170:O171"/>
    <mergeCell ref="A172:C172"/>
    <mergeCell ref="A174:B174"/>
    <mergeCell ref="A175:C175"/>
    <mergeCell ref="A177:C177"/>
    <mergeCell ref="A200:C200"/>
    <mergeCell ref="A202:B202"/>
    <mergeCell ref="A204:C204"/>
    <mergeCell ref="B205:C205"/>
    <mergeCell ref="B206:C206"/>
    <mergeCell ref="A209:C209"/>
    <mergeCell ref="A190:B190"/>
    <mergeCell ref="A192:C192"/>
    <mergeCell ref="A195:C195"/>
    <mergeCell ref="A196:C196"/>
    <mergeCell ref="A197:C197"/>
    <mergeCell ref="A199:B199"/>
    <mergeCell ref="A214:C214"/>
    <mergeCell ref="A213:B213"/>
    <mergeCell ref="A228:B228"/>
    <mergeCell ref="A230:C230"/>
    <mergeCell ref="B232:C232"/>
    <mergeCell ref="B231:C231"/>
    <mergeCell ref="A210:C210"/>
    <mergeCell ref="A211:C211"/>
    <mergeCell ref="A226:C226"/>
    <mergeCell ref="A225:B225"/>
    <mergeCell ref="A223:C223"/>
    <mergeCell ref="A222:C222"/>
    <mergeCell ref="A221:C221"/>
    <mergeCell ref="A218:C218"/>
    <mergeCell ref="A216:B216"/>
    <mergeCell ref="A238:C238"/>
    <mergeCell ref="A237:C237"/>
    <mergeCell ref="A236:C236"/>
    <mergeCell ref="A235:C235"/>
    <mergeCell ref="A246:C246"/>
    <mergeCell ref="B289:C289"/>
    <mergeCell ref="A287:C287"/>
    <mergeCell ref="B288:C288"/>
    <mergeCell ref="A267:C267"/>
    <mergeCell ref="A266:C266"/>
    <mergeCell ref="B247:C247"/>
    <mergeCell ref="A245:B245"/>
    <mergeCell ref="A243:B243"/>
    <mergeCell ref="A241:C241"/>
    <mergeCell ref="A240:B240"/>
    <mergeCell ref="A251:C251"/>
    <mergeCell ref="A250:C250"/>
    <mergeCell ref="A285:B285"/>
    <mergeCell ref="A283:F283"/>
    <mergeCell ref="A282:B282"/>
    <mergeCell ref="A280:C280"/>
    <mergeCell ref="A279:C279"/>
    <mergeCell ref="A265:C265"/>
    <mergeCell ref="A264:C264"/>
    <mergeCell ref="A254:C254"/>
    <mergeCell ref="A253:C253"/>
    <mergeCell ref="A252:C252"/>
    <mergeCell ref="A303:B303"/>
    <mergeCell ref="A305:C305"/>
    <mergeCell ref="A308:C308"/>
    <mergeCell ref="A309:C309"/>
    <mergeCell ref="A296:O297"/>
    <mergeCell ref="A295:C295"/>
    <mergeCell ref="A294:C294"/>
    <mergeCell ref="A293:C293"/>
    <mergeCell ref="A300:B300"/>
    <mergeCell ref="A301:C301"/>
    <mergeCell ref="A261:C261"/>
    <mergeCell ref="A259:C259"/>
    <mergeCell ref="A257:C257"/>
    <mergeCell ref="A256:B256"/>
    <mergeCell ref="A278:I278"/>
    <mergeCell ref="A277:C277"/>
    <mergeCell ref="A274:C274"/>
    <mergeCell ref="A272:B272"/>
    <mergeCell ref="A270:C270"/>
    <mergeCell ref="A269:B269"/>
  </mergeCells>
  <hyperlinks>
    <hyperlink ref="A2" r:id="rId1" xr:uid="{36495EAC-0DC0-4979-A14A-4AA1680CE99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vt:lpstr>
      <vt:lpstr>Volume I</vt:lpstr>
      <vt:lpstr>Volume II, Mandatory</vt:lpstr>
      <vt:lpstr>Volume II, Discretionary</vt:lpstr>
      <vt:lpstr>Volume II, 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elizabethas</dc:creator>
  <cp:lastModifiedBy>Elizabeth Ash</cp:lastModifiedBy>
  <dcterms:created xsi:type="dcterms:W3CDTF">2022-12-05T15:52:01Z</dcterms:created>
  <dcterms:modified xsi:type="dcterms:W3CDTF">2022-12-06T23:39:27Z</dcterms:modified>
</cp:coreProperties>
</file>